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sa\Downloads\"/>
    </mc:Choice>
  </mc:AlternateContent>
  <xr:revisionPtr revIDLastSave="0" documentId="13_ncr:1_{58BC15A4-82C6-4255-A538-AB7F250AC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nilaian" sheetId="1" r:id="rId1"/>
    <sheet name="Tabel 1a" sheetId="2" r:id="rId2"/>
    <sheet name="Tabel 1b" sheetId="3" r:id="rId3"/>
    <sheet name="Tabel 2a" sheetId="4" r:id="rId4"/>
    <sheet name="Tabel 2b" sheetId="5" r:id="rId5"/>
    <sheet name="Tabel 3a" sheetId="6" r:id="rId6"/>
    <sheet name="Tabel 3b" sheetId="7" r:id="rId7"/>
  </sheets>
  <definedNames>
    <definedName name="diploma" localSheetId="0">#REF!</definedName>
    <definedName name="diploma">#REF!</definedName>
    <definedName name="_xlnm.Print_Area" localSheetId="0">Penilaian!$A$1:$D$238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7" i="1" l="1"/>
  <c r="D236" i="1"/>
  <c r="D224" i="1"/>
  <c r="D223" i="1"/>
  <c r="D222" i="1"/>
  <c r="D221" i="1"/>
  <c r="D220" i="1"/>
  <c r="D219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208" i="1" s="1"/>
  <c r="D195" i="1"/>
  <c r="D194" i="1"/>
  <c r="D182" i="1"/>
  <c r="D181" i="1"/>
  <c r="D180" i="1"/>
  <c r="D179" i="1"/>
  <c r="D178" i="1"/>
  <c r="D177" i="1"/>
  <c r="D183" i="1" s="1"/>
  <c r="D165" i="1"/>
  <c r="D166" i="1" s="1"/>
  <c r="D164" i="1"/>
  <c r="D152" i="1"/>
  <c r="D151" i="1"/>
  <c r="D137" i="1"/>
  <c r="D140" i="1" s="1"/>
  <c r="D136" i="1"/>
  <c r="D135" i="1"/>
  <c r="D134" i="1"/>
  <c r="D122" i="1"/>
  <c r="D123" i="1" s="1"/>
  <c r="D121" i="1"/>
  <c r="D110" i="1"/>
  <c r="D116" i="1" s="1"/>
  <c r="F116" i="1" s="1"/>
  <c r="D98" i="1"/>
  <c r="D99" i="1" s="1"/>
  <c r="D97" i="1"/>
  <c r="D83" i="1"/>
  <c r="D85" i="1" s="1"/>
  <c r="D81" i="1"/>
  <c r="D80" i="1"/>
  <c r="D79" i="1"/>
  <c r="D82" i="1" s="1"/>
  <c r="D92" i="1" s="1"/>
  <c r="D67" i="1"/>
  <c r="D66" i="1"/>
  <c r="D54" i="1"/>
  <c r="D55" i="1" s="1"/>
  <c r="D53" i="1"/>
  <c r="D42" i="1"/>
  <c r="D44" i="1" s="1"/>
  <c r="D31" i="1"/>
  <c r="D32" i="1" s="1"/>
  <c r="D29" i="1"/>
  <c r="D28" i="1"/>
  <c r="D27" i="1"/>
  <c r="D61" i="1" l="1"/>
  <c r="D62" i="1"/>
  <c r="D57" i="1"/>
  <c r="D112" i="1"/>
  <c r="F112" i="1" s="1"/>
  <c r="D46" i="1"/>
  <c r="D113" i="1"/>
  <c r="F113" i="1" s="1"/>
  <c r="D45" i="1"/>
  <c r="D111" i="1"/>
  <c r="F111" i="1" s="1"/>
  <c r="D117" i="1"/>
  <c r="F117" i="1" s="1"/>
  <c r="D118" i="1"/>
  <c r="F119" i="1" s="1"/>
  <c r="D119" i="1"/>
  <c r="D153" i="1"/>
  <c r="D159" i="1" s="1"/>
  <c r="F159" i="1" s="1"/>
  <c r="D68" i="1"/>
  <c r="D77" i="1" s="1"/>
  <c r="D30" i="1"/>
  <c r="D40" i="1" s="1"/>
  <c r="D225" i="1"/>
  <c r="D226" i="1" s="1"/>
  <c r="F226" i="1" s="1"/>
  <c r="D238" i="1"/>
  <c r="D242" i="1" s="1"/>
  <c r="F242" i="1" s="1"/>
  <c r="D169" i="1"/>
  <c r="F169" i="1" s="1"/>
  <c r="D168" i="1"/>
  <c r="F168" i="1" s="1"/>
  <c r="D175" i="1"/>
  <c r="D167" i="1"/>
  <c r="F167" i="1" s="1"/>
  <c r="D174" i="1"/>
  <c r="D173" i="1"/>
  <c r="F173" i="1" s="1"/>
  <c r="D172" i="1"/>
  <c r="F172" i="1" s="1"/>
  <c r="D171" i="1"/>
  <c r="D170" i="1"/>
  <c r="F170" i="1" s="1"/>
  <c r="D189" i="1"/>
  <c r="F189" i="1" s="1"/>
  <c r="D188" i="1"/>
  <c r="D187" i="1"/>
  <c r="F187" i="1" s="1"/>
  <c r="D186" i="1"/>
  <c r="F186" i="1" s="1"/>
  <c r="D185" i="1"/>
  <c r="F185" i="1" s="1"/>
  <c r="D192" i="1"/>
  <c r="D184" i="1"/>
  <c r="F184" i="1" s="1"/>
  <c r="D191" i="1"/>
  <c r="D190" i="1"/>
  <c r="F190" i="1" s="1"/>
  <c r="D76" i="1"/>
  <c r="D132" i="1"/>
  <c r="D131" i="1"/>
  <c r="D130" i="1"/>
  <c r="F130" i="1" s="1"/>
  <c r="D129" i="1"/>
  <c r="D128" i="1"/>
  <c r="D100" i="1"/>
  <c r="F100" i="1" s="1"/>
  <c r="D105" i="1"/>
  <c r="F105" i="1" s="1"/>
  <c r="D101" i="1"/>
  <c r="F101" i="1" s="1"/>
  <c r="D104" i="1"/>
  <c r="D102" i="1"/>
  <c r="F102" i="1" s="1"/>
  <c r="D103" i="1"/>
  <c r="F103" i="1" s="1"/>
  <c r="D213" i="1"/>
  <c r="D212" i="1"/>
  <c r="F212" i="1" s="1"/>
  <c r="D211" i="1"/>
  <c r="F211" i="1" s="1"/>
  <c r="D210" i="1"/>
  <c r="F210" i="1" s="1"/>
  <c r="D217" i="1"/>
  <c r="D209" i="1"/>
  <c r="F209" i="1" s="1"/>
  <c r="D216" i="1"/>
  <c r="D215" i="1"/>
  <c r="F215" i="1" s="1"/>
  <c r="D214" i="1"/>
  <c r="F214" i="1" s="1"/>
  <c r="D146" i="1"/>
  <c r="D145" i="1"/>
  <c r="D149" i="1"/>
  <c r="D148" i="1"/>
  <c r="D147" i="1"/>
  <c r="D64" i="1"/>
  <c r="D114" i="1"/>
  <c r="F114" i="1" s="1"/>
  <c r="D50" i="1"/>
  <c r="D86" i="1"/>
  <c r="D51" i="1"/>
  <c r="D87" i="1"/>
  <c r="D115" i="1"/>
  <c r="D84" i="1"/>
  <c r="D33" i="1"/>
  <c r="D49" i="1"/>
  <c r="D36" i="1"/>
  <c r="D26" i="1" s="1"/>
  <c r="D88" i="1"/>
  <c r="D138" i="1"/>
  <c r="D142" i="1" s="1"/>
  <c r="D48" i="1"/>
  <c r="D89" i="1"/>
  <c r="D78" i="1" s="1"/>
  <c r="D139" i="1"/>
  <c r="D47" i="1"/>
  <c r="D41" i="1" s="1"/>
  <c r="D63" i="1"/>
  <c r="D90" i="1"/>
  <c r="D91" i="1"/>
  <c r="D56" i="1"/>
  <c r="D58" i="1"/>
  <c r="D59" i="1"/>
  <c r="D43" i="1"/>
  <c r="D60" i="1"/>
  <c r="D52" i="1" s="1"/>
  <c r="D227" i="1" l="1"/>
  <c r="F227" i="1" s="1"/>
  <c r="D229" i="1"/>
  <c r="F229" i="1" s="1"/>
  <c r="D247" i="1"/>
  <c r="D240" i="1"/>
  <c r="F240" i="1" s="1"/>
  <c r="D241" i="1"/>
  <c r="F241" i="1" s="1"/>
  <c r="D234" i="1"/>
  <c r="D232" i="1"/>
  <c r="F232" i="1" s="1"/>
  <c r="D233" i="1"/>
  <c r="F234" i="1" s="1"/>
  <c r="D228" i="1"/>
  <c r="F228" i="1" s="1"/>
  <c r="D230" i="1"/>
  <c r="F230" i="1" s="1"/>
  <c r="D231" i="1"/>
  <c r="F231" i="1" s="1"/>
  <c r="D243" i="1"/>
  <c r="D235" i="1" s="1"/>
  <c r="D244" i="1"/>
  <c r="F244" i="1" s="1"/>
  <c r="D245" i="1"/>
  <c r="F245" i="1" s="1"/>
  <c r="D246" i="1"/>
  <c r="F246" i="1" s="1"/>
  <c r="D239" i="1"/>
  <c r="F239" i="1" s="1"/>
  <c r="F118" i="1"/>
  <c r="D73" i="1"/>
  <c r="D65" i="1" s="1"/>
  <c r="C19" i="1" s="1"/>
  <c r="D74" i="1"/>
  <c r="D75" i="1"/>
  <c r="D158" i="1"/>
  <c r="D160" i="1"/>
  <c r="F160" i="1" s="1"/>
  <c r="D161" i="1"/>
  <c r="D162" i="1"/>
  <c r="D37" i="1"/>
  <c r="D39" i="1"/>
  <c r="D38" i="1"/>
  <c r="D35" i="1"/>
  <c r="D34" i="1"/>
  <c r="G142" i="1"/>
  <c r="G249" i="1" s="1"/>
  <c r="F142" i="1"/>
  <c r="H142" i="1"/>
  <c r="H249" i="1" s="1"/>
  <c r="F175" i="1"/>
  <c r="F174" i="1"/>
  <c r="F188" i="1"/>
  <c r="D176" i="1"/>
  <c r="D96" i="1"/>
  <c r="F104" i="1"/>
  <c r="H147" i="1"/>
  <c r="H254" i="1" s="1"/>
  <c r="G147" i="1"/>
  <c r="G254" i="1" s="1"/>
  <c r="F147" i="1"/>
  <c r="G146" i="1"/>
  <c r="F146" i="1"/>
  <c r="H146" i="1"/>
  <c r="F192" i="1"/>
  <c r="F191" i="1"/>
  <c r="F131" i="1"/>
  <c r="F132" i="1"/>
  <c r="H145" i="1"/>
  <c r="G145" i="1"/>
  <c r="F145" i="1"/>
  <c r="D133" i="1"/>
  <c r="D141" i="1"/>
  <c r="D193" i="1"/>
  <c r="F213" i="1"/>
  <c r="F162" i="1"/>
  <c r="F161" i="1"/>
  <c r="D218" i="1"/>
  <c r="D163" i="1"/>
  <c r="F171" i="1"/>
  <c r="D109" i="1"/>
  <c r="F115" i="1"/>
  <c r="D120" i="1"/>
  <c r="H128" i="1"/>
  <c r="H252" i="1" s="1"/>
  <c r="C21" i="1" s="1"/>
  <c r="G128" i="1"/>
  <c r="G252" i="1" s="1"/>
  <c r="C20" i="1" s="1"/>
  <c r="F128" i="1"/>
  <c r="F158" i="1"/>
  <c r="D150" i="1"/>
  <c r="D144" i="1"/>
  <c r="D143" i="1"/>
  <c r="F217" i="1"/>
  <c r="F216" i="1"/>
  <c r="F149" i="1"/>
  <c r="F148" i="1"/>
  <c r="H129" i="1"/>
  <c r="G129" i="1"/>
  <c r="F129" i="1"/>
  <c r="F249" i="1" l="1"/>
  <c r="F254" i="1"/>
  <c r="F233" i="1"/>
  <c r="F247" i="1"/>
  <c r="F256" i="1" s="1"/>
  <c r="F243" i="1"/>
  <c r="F252" i="1" s="1"/>
  <c r="C18" i="1" s="1"/>
  <c r="C22" i="1" s="1"/>
  <c r="F253" i="1"/>
  <c r="G253" i="1"/>
  <c r="H253" i="1"/>
  <c r="F255" i="1"/>
  <c r="H141" i="1"/>
  <c r="H248" i="1" s="1"/>
  <c r="G141" i="1"/>
  <c r="G248" i="1" s="1"/>
  <c r="F141" i="1"/>
  <c r="F248" i="1" s="1"/>
  <c r="H143" i="1"/>
  <c r="H250" i="1" s="1"/>
  <c r="G143" i="1"/>
  <c r="G250" i="1" s="1"/>
  <c r="F143" i="1"/>
  <c r="F250" i="1" s="1"/>
  <c r="H144" i="1"/>
  <c r="H251" i="1" s="1"/>
  <c r="G144" i="1"/>
  <c r="G251" i="1" s="1"/>
  <c r="F144" i="1"/>
  <c r="F2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000-000001000000}">
      <text>
        <r>
          <rPr>
            <sz val="11"/>
            <color rgb="FF000000"/>
            <rFont val="Calibri"/>
            <family val="2"/>
          </rPr>
          <t>Nama Program: 
1. Doktor, 
2. Doktor Terapan, 
3. Magister, 
4. Magister Terapan, 
5. Sarjana, 
6. Sarjana Terapan atau Diploma Empat, 
7. Diploma Tiga, 
8. Diploma Dua, 
9. Diploma Satu.</t>
        </r>
      </text>
    </comment>
    <comment ref="C7" authorId="0" shapeId="0" xr:uid="{00000000-0006-0000-0000-000002000000}">
      <text>
        <r>
          <rPr>
            <sz val="11"/>
            <color rgb="FF000000"/>
            <rFont val="Calibri"/>
            <family val="2"/>
          </rPr>
          <t>Kategori tingkat kebutuhan lulusan 
(berlaku pada Program Sarjana): 
- Tinggi
- Rendah</t>
        </r>
      </text>
    </comment>
    <comment ref="C8" authorId="0" shapeId="0" xr:uid="{00000000-0006-0000-0000-000003000000}">
      <text>
        <r>
          <rPr>
            <sz val="11"/>
            <color rgb="FF000000"/>
            <rFont val="Calibri"/>
            <family val="2"/>
          </rPr>
          <t>Status operasional:
1. Aktif, 
2. Alih Bentuk, 
3. Pembinaan, 
4. Tutup.</t>
        </r>
      </text>
    </comment>
    <comment ref="C14" authorId="0" shapeId="0" xr:uid="{00000000-0006-0000-0000-000004000000}">
      <text>
        <r>
          <rPr>
            <sz val="11"/>
            <color rgb="FF000000"/>
            <rFont val="Calibri"/>
            <family val="2"/>
          </rPr>
          <t>Peringkat:
- A
- B
- C
- Unggul
- Baik Sekali
- Baik</t>
        </r>
      </text>
    </comment>
  </commentList>
</comments>
</file>

<file path=xl/sharedStrings.xml><?xml version="1.0" encoding="utf-8"?>
<sst xmlns="http://schemas.openxmlformats.org/spreadsheetml/2006/main" count="381" uniqueCount="169">
  <si>
    <t>PEMANTAUAN DAN EVALUASI PERINGKAT AKREDITASI PROGRAM STUDI</t>
  </si>
  <si>
    <t>PENILAIAN PEMANTAUAN TAHAP 1</t>
  </si>
  <si>
    <t>IDENTITAS DAN LEGALITAS PROGRAM STUDI</t>
  </si>
  <si>
    <t>Nama Program Studi</t>
  </si>
  <si>
    <t>Program</t>
  </si>
  <si>
    <t>Sarjana</t>
  </si>
  <si>
    <t>Kategori tingkat kebutuhan lulusan (berlaku pada Program Sarjana)</t>
  </si>
  <si>
    <t>Tinggi</t>
  </si>
  <si>
    <t>Status Operasional Program Studi</t>
  </si>
  <si>
    <t>Aktif</t>
  </si>
  <si>
    <t>Nama Perguruan Tinggi</t>
  </si>
  <si>
    <t>Institut Teknologi Bandung</t>
  </si>
  <si>
    <t>SK Pembukaan Program Studi</t>
  </si>
  <si>
    <t>a.      Nomor</t>
  </si>
  <si>
    <t xml:space="preserve">b.      Tanggal </t>
  </si>
  <si>
    <t>Akreditasi Program Studi</t>
  </si>
  <si>
    <t>a.      Peringkat</t>
  </si>
  <si>
    <t>Unggul</t>
  </si>
  <si>
    <t>b.      Tanggal Kadaluarsa</t>
  </si>
  <si>
    <t>HASIL PENILAIAN PEMANTAUAN TAHAP 1</t>
  </si>
  <si>
    <t>Nilai Pemantauan Tahap 1</t>
  </si>
  <si>
    <t>Syarat Perlu Perpanjangan Tahap 1</t>
  </si>
  <si>
    <t>a. Syarat Perlu Peringkat Unggul</t>
  </si>
  <si>
    <t>b. Syarat Perlu Peringkat Baik Sekali</t>
  </si>
  <si>
    <t>Keputusan</t>
  </si>
  <si>
    <t>PENILAIAN SYARAT PERLU PERPANJANGAN TAHAP 1</t>
  </si>
  <si>
    <t xml:space="preserve">NO. </t>
  </si>
  <si>
    <t>ELEMEN</t>
  </si>
  <si>
    <t xml:space="preserve">INDIKATOR </t>
  </si>
  <si>
    <t>PENILAIAN</t>
  </si>
  <si>
    <t>Mahasiswa</t>
  </si>
  <si>
    <t>Jumlah mahasiswa baru dalam 3 tahun terakhir TS-2 s.d. TS).
Tabel 1.a</t>
  </si>
  <si>
    <t>NMBR2 = Jumlah mahasiswa baru reguler pada TS-2</t>
  </si>
  <si>
    <t>NMBR1 = Jumlah mahasiswa baru reguler pada TS-1</t>
  </si>
  <si>
    <t>NMBR = Jumlah mahasiswa baru reguler pada TS</t>
  </si>
  <si>
    <t>PP = Persentase penurunan jumlah mahasiswa baru</t>
  </si>
  <si>
    <t>NTMB = Banyaknya tahun akademik dimana mahasiswa baru terdaftar</t>
  </si>
  <si>
    <t>Doktor</t>
  </si>
  <si>
    <t>Doktor Terapan</t>
  </si>
  <si>
    <t>Magister</t>
  </si>
  <si>
    <t>Magister Terapan</t>
  </si>
  <si>
    <t>Sarjana Terapan atau Diploma Empat</t>
  </si>
  <si>
    <t>Diploma Tiga</t>
  </si>
  <si>
    <t>Diploma Dua</t>
  </si>
  <si>
    <t>Diploma Satu</t>
  </si>
  <si>
    <t>Dosen</t>
  </si>
  <si>
    <t>Kecukupan jumlah dosen tetap yang mengampu mata kuliah di program studi pada saat TS.
Tabel 2.a</t>
  </si>
  <si>
    <t>NDT = Jumlah dosen tetap yang mengampu mata kuliah di program studi pada saat TS</t>
  </si>
  <si>
    <t>Batas maksimum keterlibatan dosen tidak tetap yang mengampu mata kuliah di program studi pada saat TS.
Tabel 2.a, Tabel 2.b</t>
  </si>
  <si>
    <t>NDTT = Jumlah dosen tidak tetap yang mengampu mata kuliah di program studi pada saat TS</t>
  </si>
  <si>
    <t>PDTT = (NDTT / (NDTT + NDT)) x 100%</t>
  </si>
  <si>
    <t xml:space="preserve">Rasio jumlah mahasiswa program studi terhadap jumlah dosen tetap.
Tabel 1.a, Tabel 2.a </t>
  </si>
  <si>
    <t>NM = Jumlah mahasiswa aktif pada saat TS</t>
  </si>
  <si>
    <t>RMDT = NM / NDT</t>
  </si>
  <si>
    <t>D.C.</t>
  </si>
  <si>
    <t>Lulusan</t>
  </si>
  <si>
    <t>Jumlah lulusan dalam 3 tahun terakhir (TS-2 s.d. TS).
Tabel 3.a</t>
  </si>
  <si>
    <t>NL2 = Jumlah lulusan pada TS-2</t>
  </si>
  <si>
    <t>NL1 = Jumlah lulusan pada TS-1</t>
  </si>
  <si>
    <t>NL = Jumlah lulusan pada TS</t>
  </si>
  <si>
    <t>PP = Persentase penurunan jumlah lulusan</t>
  </si>
  <si>
    <t>NTL = Banyaknya tahun akademik dimana ada lulusan</t>
  </si>
  <si>
    <t>SKOR</t>
  </si>
  <si>
    <t>BOBOT</t>
  </si>
  <si>
    <t>S x B</t>
  </si>
  <si>
    <t>SPP-U</t>
  </si>
  <si>
    <t>SPP-BS</t>
  </si>
  <si>
    <t>Mahasiswa asing.
Tabel 1.b</t>
  </si>
  <si>
    <t>NWNA = Jumlah mahasiswa asing dalam 3 tahun terakhir</t>
  </si>
  <si>
    <t>NM = Jumlah mahasiswa aktif dalam 3 tahun terakhir</t>
  </si>
  <si>
    <t>PMA = (NWNA / NM) x 100%</t>
  </si>
  <si>
    <t>Kecukupan jumlah dosen tetap.
Tabel 2.a</t>
  </si>
  <si>
    <t>Kualifikasi akademik dosen tetap.
Tabel 2.a</t>
  </si>
  <si>
    <t>NDS3 = Jumlah dosen tetap yang mengampu mata kuliah di program studi pada saat TS dengan pendidikan tertinggi Doktor/Doktor Terapan/Subspesialis</t>
  </si>
  <si>
    <t>PDS3 = (NDS3 / NDT) x 100%</t>
  </si>
  <si>
    <t>Jabatan akademik dosen tetap.
Tabel 2.a</t>
  </si>
  <si>
    <t>NDGB = Jumlah dosen tetap yang mengampu mata kuliah di program studi pada saat TS dengan jabatan akademik Guru Besar</t>
  </si>
  <si>
    <t>NDLK = Jumlah dosen tetap yang mengampu mata kuliah di program studi pada saat TS dengan jabatan akademik Lektor Kepala</t>
  </si>
  <si>
    <t>NDL = Jumlah dosen tetap yang mengampu mata kuliah di program studi pada saat TS dengan jabatan akademik Lektor</t>
  </si>
  <si>
    <t>PGB = (NDGB / NDT) x 100%</t>
  </si>
  <si>
    <t>PGBLK = ((NDGB + NDLK) / NDT) x 100%</t>
  </si>
  <si>
    <t>PGBLKL = ((NDGB + NDLK + NDL) / NDT) x 100%</t>
  </si>
  <si>
    <t>Dosen tidak tetap.
Tabel 2.a, Tabel 2.b</t>
  </si>
  <si>
    <t>Capaian Pembelajaran</t>
  </si>
  <si>
    <t>IPK lulusan.
Tabel 3.a</t>
  </si>
  <si>
    <t>IPK2 = Rata-rata IPK lulusan pada TS-2</t>
  </si>
  <si>
    <t>IPK1 = Rata-rata IPK lulusan pada TS-1</t>
  </si>
  <si>
    <t>IPK = Rata-rata IPK lulusan pada TS</t>
  </si>
  <si>
    <t>RIPK = ((IPK2 x NL2) + (IPK1 x NL1) + (IPK x NL)) / (NL2 + NL1 + NL)</t>
  </si>
  <si>
    <t>Efektivitas dan Produktivitas Pendidikan</t>
  </si>
  <si>
    <t>Masa studi.
Tabel 3.b</t>
  </si>
  <si>
    <t>NMB6 = Jumlah mahasiswa diterima pada TS-6 yang lulus s.d. akhir TS</t>
  </si>
  <si>
    <t xml:space="preserve">MS6 = Rata-rata masa studi mahasiswa yang diterima pada TS-6 </t>
  </si>
  <si>
    <t>NMB5 = Jumlah mahasiswa diterima pada TS-5 yang lulus s.d. akhir TS</t>
  </si>
  <si>
    <t>MS5 = Rata-rata masa studi mahasiswa yang diterima pada TS-5</t>
  </si>
  <si>
    <t>NMB4 = Jumlah mahasiswa diterima pada TS-4 yang lulus s.d. akhir TS</t>
  </si>
  <si>
    <t>MS4 = Rata-rata masa studi mahasiswa yang diterima pada TS-4</t>
  </si>
  <si>
    <t>NMB3 = Jumlah mahasiswa diterima pada TS-3 yang lulus s.d. akhir TS</t>
  </si>
  <si>
    <t>MS3 = Rata-rata masa studi mahasiswa yang diterima pada TS-3</t>
  </si>
  <si>
    <t>NMB2 = Jumlah mahasiswa diterima pada TS-2 yang lulus s.d. akhir TS</t>
  </si>
  <si>
    <t xml:space="preserve">MS2 = Rata-rata masa studi mahasiswa yang diterima pada TS-2 </t>
  </si>
  <si>
    <t>NMB1 = Jumlah mahasiswa diterima pada TS-1 yang lulus s.d. akhir TS</t>
  </si>
  <si>
    <t>MS1 = Rata-rata masa studi mahasiswa yang diterima pada TS-1</t>
  </si>
  <si>
    <t>NMB0 = Jumlah mahasiswa diterima pada TS yang lulus s.d. akhir TS</t>
  </si>
  <si>
    <t>MS0 = Rata-rata masa studi mahasiswa yang diterima pada TS</t>
  </si>
  <si>
    <t>MS = Rata-rata masa studi</t>
  </si>
  <si>
    <t>Kelulusan tepat waktu.
Tabel 3.b</t>
  </si>
  <si>
    <t>NMB(n+2) = Jumlah mahasiswa diterima pada TS-(n+2)</t>
  </si>
  <si>
    <t>NTW(n+2) = Jumlah mahasiswa diterima pada TS-(n+2) yang lulus tepat waktu</t>
  </si>
  <si>
    <t>NMB(n+1) = Jumlah mahasiswa diterima pada TS-(n+1)</t>
  </si>
  <si>
    <t>NTW(n+1) = Jumlah mahasiswa diterima pada TS-(n+1) yang lulus tepat waktu</t>
  </si>
  <si>
    <t>NMBn = Jumlah mahasiswa diterima pada TS-n</t>
  </si>
  <si>
    <t>NTWn = Jumlah mahasiswa diterima pada TS-n yang lulus tepat waktu</t>
  </si>
  <si>
    <t>PTW = Persentase kelulusan tepat waktu</t>
  </si>
  <si>
    <t>Keberhasilan studi.
Tabel 3.b</t>
  </si>
  <si>
    <t>NBSn = Jumlah mahasiswa diterima pada TS-n yang berhasil menyelesaikan studi</t>
  </si>
  <si>
    <t>PBS = Persentase keberhasilan studi</t>
  </si>
  <si>
    <t>ban-pt</t>
  </si>
  <si>
    <t>v20210207</t>
  </si>
  <si>
    <t>Tabel 1.a Mahasiswa dan Lulusan</t>
  </si>
  <si>
    <t>No.</t>
  </si>
  <si>
    <t>Tahun Akademik</t>
  </si>
  <si>
    <t>Semester</t>
  </si>
  <si>
    <t>Jumlah Mahasiswa Baru</t>
  </si>
  <si>
    <t>Jumlah Mahasiswa Aktif</t>
  </si>
  <si>
    <t>Jumlah Lulusan</t>
  </si>
  <si>
    <t>Reguler</t>
  </si>
  <si>
    <t>Transfer</t>
  </si>
  <si>
    <t>TS-2</t>
  </si>
  <si>
    <t>Gasal</t>
  </si>
  <si>
    <t>Genap</t>
  </si>
  <si>
    <t>TS-1</t>
  </si>
  <si>
    <t>TS</t>
  </si>
  <si>
    <t>Tabel 1.b Mahasiswa Asing</t>
  </si>
  <si>
    <t>Jumlah Mahasiswa Asing Penuh Waktu (Full-time)</t>
  </si>
  <si>
    <t>Jumlah Mahasiswa Asing Paruh Waktu (Part-time)</t>
  </si>
  <si>
    <t>Tabel 2.a Dosen Tetap</t>
  </si>
  <si>
    <t>Nama Dosen Tetap</t>
  </si>
  <si>
    <t>NIDN/ NIDK</t>
  </si>
  <si>
    <t>Pendidikan Tertinggi</t>
  </si>
  <si>
    <t>Jabatan Akademik</t>
  </si>
  <si>
    <t>Mata Kuliah yang Diampu</t>
  </si>
  <si>
    <t>Bobot Kredit (sks)</t>
  </si>
  <si>
    <t>Tabel 2.b Dosen Tidak Tetap</t>
  </si>
  <si>
    <t>Nama Dosen Tidak Tetap</t>
  </si>
  <si>
    <t>Tabel 3.a IPK Lulusan</t>
  </si>
  <si>
    <t>Tahun Lulus</t>
  </si>
  <si>
    <t>Indeks Prestasi Kumulatif</t>
  </si>
  <si>
    <t>Min.</t>
  </si>
  <si>
    <t>Rata-rata</t>
  </si>
  <si>
    <t>Maks.</t>
  </si>
  <si>
    <t>Tabel 3.b Kohort Lulusan Program Studi</t>
  </si>
  <si>
    <t>Tahun Masuk</t>
  </si>
  <si>
    <t xml:space="preserve">Jumlah Mahasiswa Diterima  </t>
  </si>
  <si>
    <t>Jumlah Lulusan pada</t>
  </si>
  <si>
    <t>Jumlah Lulusan s.d. Akhir TS</t>
  </si>
  <si>
    <t>Rata-rata Masa Studi</t>
  </si>
  <si>
    <t>Akhir TS-6</t>
  </si>
  <si>
    <t>Akhir TS-5</t>
  </si>
  <si>
    <t>Akhir TS-4</t>
  </si>
  <si>
    <t>Akhir TS-3</t>
  </si>
  <si>
    <t>Akhir TS-2</t>
  </si>
  <si>
    <t>Akhir TS-1</t>
  </si>
  <si>
    <t>Akhir TS</t>
  </si>
  <si>
    <t>TS-6</t>
  </si>
  <si>
    <t>TS-5</t>
  </si>
  <si>
    <t>TS-4</t>
  </si>
  <si>
    <t>TS-3</t>
  </si>
  <si>
    <t>Teknik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</si>
</sst>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6D9F1"/>
      </patternFill>
    </fill>
    <fill>
      <patternFill patternType="solid">
        <fgColor rgb="FFC6D9F1"/>
        <bgColor rgb="FFBFBFB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1" fillId="0" borderId="0"/>
    <xf numFmtId="0" fontId="1" fillId="0" borderId="0">
      <alignment vertical="top"/>
      <protection locked="0"/>
    </xf>
    <xf numFmtId="9" fontId="11" fillId="0" borderId="0"/>
  </cellStyleXfs>
  <cellXfs count="87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0" fillId="0" borderId="0" xfId="0" applyFont="1" applyAlignment="1">
      <alignment vertical="top"/>
    </xf>
    <xf numFmtId="0" fontId="0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0" fontId="2" fillId="0" borderId="3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0" fillId="0" borderId="4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</cellXfs>
  <cellStyles count="4">
    <cellStyle name="Hyperlink 2" xfId="2" xr:uid="{00000000-0005-0000-0000-000006000000}"/>
    <cellStyle name="Normal" xfId="0" builtinId="0"/>
    <cellStyle name="Percent" xfId="1" builtinId="5"/>
    <cellStyle name="Percent 2" xfId="3" xr:uid="{00000000-0005-0000-0000-000007000000}"/>
  </cellStyles>
  <dxfs count="15"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  <dxf>
      <font>
        <sz val="11"/>
        <color rgb="FFFFFFFF"/>
        <name val="Calibri"/>
        <family val="2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256"/>
  <sheetViews>
    <sheetView tabSelected="1" zoomScaleNormal="100" zoomScalePageLayoutView="60" workbookViewId="0">
      <selection activeCell="C5" sqref="C5"/>
    </sheetView>
  </sheetViews>
  <sheetFormatPr defaultColWidth="9.109375" defaultRowHeight="14.4" x14ac:dyDescent="0.3"/>
  <cols>
    <col min="1" max="1" width="6.5546875" style="4" customWidth="1"/>
    <col min="2" max="2" width="28.6640625" style="4" customWidth="1"/>
    <col min="3" max="3" width="67.109375" style="5" customWidth="1"/>
    <col min="4" max="4" width="11.6640625" style="5" customWidth="1"/>
    <col min="5" max="6" width="11.109375" style="5" hidden="1" customWidth="1"/>
    <col min="7" max="8" width="14" style="5" hidden="1" customWidth="1"/>
    <col min="9" max="64" width="9.109375" style="5"/>
  </cols>
  <sheetData>
    <row r="1" spans="1:64" ht="15.9" customHeight="1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16.350000000000001" customHeight="1" x14ac:dyDescent="0.3">
      <c r="A2" s="6" t="s">
        <v>1</v>
      </c>
      <c r="B2" s="7"/>
      <c r="C2" s="8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6.350000000000001" customHeight="1" x14ac:dyDescent="0.3">
      <c r="A3" s="7"/>
      <c r="B3" s="7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x14ac:dyDescent="0.3">
      <c r="A4" s="10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0.55" customHeight="1" x14ac:dyDescent="0.3">
      <c r="A5" s="11">
        <v>1</v>
      </c>
      <c r="B5" s="12" t="s">
        <v>3</v>
      </c>
      <c r="C5" s="13" t="s">
        <v>168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 ht="20.55" customHeight="1" x14ac:dyDescent="0.3">
      <c r="A6" s="11">
        <v>2</v>
      </c>
      <c r="B6" s="12" t="s">
        <v>4</v>
      </c>
      <c r="C6" s="14" t="s">
        <v>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4" ht="43.8" hidden="1" customHeight="1" x14ac:dyDescent="0.3">
      <c r="A7" s="11"/>
      <c r="B7" s="12" t="s">
        <v>6</v>
      </c>
      <c r="C7" s="14" t="s">
        <v>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</row>
    <row r="8" spans="1:64" ht="20.55" customHeight="1" x14ac:dyDescent="0.3">
      <c r="A8" s="11">
        <v>3</v>
      </c>
      <c r="B8" s="12" t="s">
        <v>8</v>
      </c>
      <c r="C8" s="14" t="s">
        <v>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20.55" customHeight="1" x14ac:dyDescent="0.3">
      <c r="A9" s="11">
        <v>4</v>
      </c>
      <c r="B9" s="12" t="s">
        <v>10</v>
      </c>
      <c r="C9" s="14" t="s">
        <v>11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4" ht="20.55" customHeight="1" x14ac:dyDescent="0.3">
      <c r="A10" s="11">
        <v>5</v>
      </c>
      <c r="B10" s="12" t="s">
        <v>12</v>
      </c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4" ht="20.55" customHeight="1" x14ac:dyDescent="0.3">
      <c r="A11" s="11"/>
      <c r="B11" s="12" t="s">
        <v>13</v>
      </c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4" ht="20.55" customHeight="1" x14ac:dyDescent="0.3">
      <c r="A12" s="11"/>
      <c r="B12" s="12" t="s">
        <v>14</v>
      </c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0.55" customHeight="1" x14ac:dyDescent="0.3">
      <c r="A13" s="11">
        <v>6</v>
      </c>
      <c r="B13" s="12" t="s">
        <v>15</v>
      </c>
      <c r="C13" s="12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</row>
    <row r="14" spans="1:64" ht="20.55" customHeight="1" x14ac:dyDescent="0.3">
      <c r="A14" s="11"/>
      <c r="B14" s="12" t="s">
        <v>16</v>
      </c>
      <c r="C14" s="12" t="s">
        <v>17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0.55" customHeight="1" x14ac:dyDescent="0.3">
      <c r="A15" s="11"/>
      <c r="B15" s="12" t="s">
        <v>18</v>
      </c>
      <c r="C15" s="12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</row>
    <row r="16" spans="1:64" ht="15.9" customHeight="1" x14ac:dyDescent="0.3">
      <c r="A16" s="15"/>
      <c r="B16" s="15"/>
      <c r="C16" s="15"/>
      <c r="D16" s="15"/>
      <c r="E16" s="15"/>
      <c r="F16" s="16"/>
    </row>
    <row r="17" spans="1:6" ht="15.9" customHeight="1" x14ac:dyDescent="0.3">
      <c r="A17" s="17" t="s">
        <v>19</v>
      </c>
      <c r="D17" s="15"/>
      <c r="E17" s="15"/>
      <c r="F17" s="16"/>
    </row>
    <row r="18" spans="1:6" ht="15.9" customHeight="1" x14ac:dyDescent="0.3">
      <c r="A18" s="18">
        <v>1</v>
      </c>
      <c r="B18" s="19" t="s">
        <v>20</v>
      </c>
      <c r="C18" s="20">
        <f>IF($C$6="Doktor",F248,IF($C$6="Doktor Terapan",F249,IF($C$6="Magister",F250,IF($C$6="Magister Terapan",F251,IF($C$6="Sarjana",F252,IF(OR($C$6="Sarjana Terapan",$C$6="Diploma Empat"),F253,IF($C$6="Diploma Tiga",F254,IF($C$6="Diploma Dua",F255,IF($C$6="Diploma Satu",F256,0)))))))))</f>
        <v>138.51999999999998</v>
      </c>
      <c r="D18" s="15"/>
      <c r="E18" s="15"/>
      <c r="F18" s="16"/>
    </row>
    <row r="19" spans="1:6" ht="29.1" customHeight="1" x14ac:dyDescent="0.3">
      <c r="A19" s="18">
        <v>2</v>
      </c>
      <c r="B19" s="19" t="s">
        <v>21</v>
      </c>
      <c r="C19" s="21" t="str">
        <f>IF(OR(D26="Tidak terpenuhi",D41="Tidak terpenuhi",D52="Tidak terpenuhi",D65="Tidak terpenuhi",D78="Tidak terpenuhi"),"Tidak terpenuhi","Terpenuhi")</f>
        <v>Tidak terpenuhi</v>
      </c>
      <c r="D19" s="15"/>
      <c r="E19" s="15"/>
      <c r="F19" s="16"/>
    </row>
    <row r="20" spans="1:6" ht="15.9" customHeight="1" x14ac:dyDescent="0.3">
      <c r="A20" s="18">
        <v>3</v>
      </c>
      <c r="B20" s="19" t="s">
        <v>22</v>
      </c>
      <c r="C20" s="21" t="str">
        <f>IF(OR(C14="A",C14="B",C14="C",C6="Diploma Dua",C6="Diploma Satu"),"",IF($C$6="Doktor",G248,IF($C$6="Doktor Terapan",G249,IF($C$6="Magister",G250,IF($C$6="Magister Terapan",G251,IF($C$6="Sarjana",G252,IF(OR($C$6="Sarjana Terapan",$C$6="Diploma Empat"),G253,IF($C$6="Diploma Tiga",G254,IF($C$6="Diploma Dua",G255,IF($C$6="Diploma Satu",G256,"Tidak terpenuhi"))))))))))</f>
        <v>Tidak terpenuhi</v>
      </c>
      <c r="D20" s="15"/>
      <c r="E20" s="15"/>
      <c r="F20" s="16"/>
    </row>
    <row r="21" spans="1:6" ht="15.9" customHeight="1" x14ac:dyDescent="0.3">
      <c r="A21" s="21"/>
      <c r="B21" s="21" t="s">
        <v>23</v>
      </c>
      <c r="C21" s="21" t="str">
        <f>IF(OR(C14="A",C14="B",C14="C",C6="Diploma Dua",C6="Diploma Satu"),"",IF($C$6="Doktor",H248,IF($C$6="Doktor Terapan",H249,IF($C$6="Magister",H250,IF($C$6="Magister Terapan",H251,IF($C$6="Sarjana",H252,IF(OR($C$6="Sarjana Terapan",$C$6="Diploma Empat"),H253,IF($C$6="Diploma Tiga",H254,IF($C$6="Diploma Dua",H255,IF($C$6="Diploma Satu",H256,"Tidak terpenuhi"))))))))))</f>
        <v>Tidak terpenuhi</v>
      </c>
      <c r="D21" s="15"/>
      <c r="E21" s="15"/>
      <c r="F21" s="16"/>
    </row>
    <row r="22" spans="1:6" ht="15.9" customHeight="1" x14ac:dyDescent="0.3">
      <c r="A22" s="18">
        <v>4</v>
      </c>
      <c r="B22" s="19" t="s">
        <v>24</v>
      </c>
      <c r="C22" s="22" t="str">
        <f>IF(AND(C14="A",C18&gt;=361,C19="Terpenuhi"),"Penetapan perpanjangan peringkat terakreditasi A",IF(AND(C14="B",C18&gt;=301,C19="Terpenuhi"),"Penetapan perpanjangan peringkat terakreditasi B",IF(AND(C14="C",C18&gt;=200,C19="Terpenuhi"),"Penetapan perpanjangan peringkat terakreditasi C",IF(AND(C14="Unggul",C18&gt;=361,C19="Terpenuhi",C20="Terpenuhi"),"Penetapan perpanjangan peringkat akreditasi Unggul",IF(AND(C14="Baik Sekali",C18&gt;=301,C19="Terpenuhi",C21="Terpenuhi"),"Penetapan perpanjangan peringkat akreditasi Baik Sekali",IF(AND(C14="Baik",C18&gt;=200,C19="Terpenuhi"),"Penetapan perpanjangan peringkat akreditasi Baik","Pemantauan dan evaluasi dilanjutkan ke Pemantauan Tahap 2"))))))</f>
        <v>Pemantauan dan evaluasi dilanjutkan ke Pemantauan Tahap 2</v>
      </c>
      <c r="D22" s="15"/>
      <c r="E22" s="15"/>
      <c r="F22" s="16"/>
    </row>
    <row r="23" spans="1:6" ht="15.9" customHeight="1" x14ac:dyDescent="0.3">
      <c r="A23" s="15"/>
      <c r="B23" s="15"/>
      <c r="C23" s="15"/>
      <c r="D23" s="15"/>
      <c r="E23" s="15"/>
      <c r="F23" s="16"/>
    </row>
    <row r="24" spans="1:6" ht="15.9" customHeight="1" x14ac:dyDescent="0.3">
      <c r="A24" s="17" t="s">
        <v>25</v>
      </c>
      <c r="B24" s="23"/>
      <c r="C24" s="23"/>
      <c r="D24" s="23"/>
      <c r="E24" s="23"/>
      <c r="F24" s="23"/>
    </row>
    <row r="25" spans="1:6" x14ac:dyDescent="0.3">
      <c r="A25" s="24" t="s">
        <v>26</v>
      </c>
      <c r="B25" s="24" t="s">
        <v>27</v>
      </c>
      <c r="C25" s="24" t="s">
        <v>28</v>
      </c>
      <c r="D25" s="25" t="s">
        <v>29</v>
      </c>
    </row>
    <row r="26" spans="1:6" ht="29.1" customHeight="1" x14ac:dyDescent="0.3">
      <c r="A26" s="26">
        <v>1</v>
      </c>
      <c r="B26" s="27" t="s">
        <v>30</v>
      </c>
      <c r="C26" s="28" t="s">
        <v>31</v>
      </c>
      <c r="D26" s="29" t="str">
        <f>IF($C$6="Doktor",D32,IF($C$6="Doktor Terapan",D33,IF($C$6="Magister",D34,IF($C$6="Magister Terapan",D35,IF($C$6="Sarjana",D36,IF(OR($C$6="Sarjana Terapan",$C$6="Diploma Empat"),D37,IF($C$6="Diploma Tiga",D38,IF($C$6="Diploma Dua",D39,IF($C$6="Diploma Satu",D40,"Tidak terpenuhi")))))))))</f>
        <v>Tidak terpenuhi</v>
      </c>
    </row>
    <row r="27" spans="1:6" ht="17.100000000000001" hidden="1" customHeight="1" x14ac:dyDescent="0.3">
      <c r="A27" s="30"/>
      <c r="B27" s="31"/>
      <c r="C27" s="32" t="s">
        <v>32</v>
      </c>
      <c r="D27" s="33">
        <f>SUM('Tabel 1a'!D6:D7)</f>
        <v>0</v>
      </c>
    </row>
    <row r="28" spans="1:6" ht="17.100000000000001" hidden="1" customHeight="1" x14ac:dyDescent="0.3">
      <c r="A28" s="30"/>
      <c r="B28" s="31"/>
      <c r="C28" s="32" t="s">
        <v>33</v>
      </c>
      <c r="D28" s="33">
        <f>SUM('Tabel 1a'!D8:D9)</f>
        <v>0</v>
      </c>
    </row>
    <row r="29" spans="1:6" ht="17.100000000000001" hidden="1" customHeight="1" x14ac:dyDescent="0.3">
      <c r="A29" s="30"/>
      <c r="B29" s="31"/>
      <c r="C29" s="32" t="s">
        <v>34</v>
      </c>
      <c r="D29" s="33">
        <f>SUM('Tabel 1a'!D10:D11)</f>
        <v>0</v>
      </c>
    </row>
    <row r="30" spans="1:6" ht="17.100000000000001" customHeight="1" x14ac:dyDescent="0.3">
      <c r="A30" s="30"/>
      <c r="B30" s="31"/>
      <c r="C30" s="32" t="s">
        <v>35</v>
      </c>
      <c r="D30" s="34">
        <f>IF(AND(D27&gt;0,D28&gt;0),AVERAGE(-(D28-D27)/D27,-(D29-D28)/D28),100%)</f>
        <v>1</v>
      </c>
      <c r="E30" s="35"/>
    </row>
    <row r="31" spans="1:6" ht="17.100000000000001" customHeight="1" x14ac:dyDescent="0.3">
      <c r="A31" s="30"/>
      <c r="B31" s="31"/>
      <c r="C31" s="32" t="s">
        <v>36</v>
      </c>
      <c r="D31" s="33">
        <f>COUNTIF(D27:D29,"&gt;0")</f>
        <v>0</v>
      </c>
    </row>
    <row r="32" spans="1:6" hidden="1" x14ac:dyDescent="0.3">
      <c r="A32" s="30"/>
      <c r="B32" s="31"/>
      <c r="C32" s="36" t="s">
        <v>37</v>
      </c>
      <c r="D32" s="33" t="str">
        <f>IF(D31=3,"Terpenuhi","Tidak terpenuhi")</f>
        <v>Tidak terpenuhi</v>
      </c>
    </row>
    <row r="33" spans="1:4" hidden="1" x14ac:dyDescent="0.3">
      <c r="A33" s="30"/>
      <c r="B33" s="31"/>
      <c r="C33" s="36" t="s">
        <v>38</v>
      </c>
      <c r="D33" s="33" t="str">
        <f>IF(D31=3,"Terpenuhi","Tidak terpenuhi")</f>
        <v>Tidak terpenuhi</v>
      </c>
    </row>
    <row r="34" spans="1:4" hidden="1" x14ac:dyDescent="0.3">
      <c r="A34" s="30"/>
      <c r="B34" s="31"/>
      <c r="C34" s="36" t="s">
        <v>39</v>
      </c>
      <c r="D34" s="33" t="str">
        <f>IF(D30&lt;=10%,"Terpenuhi","Tidak terpenuhi")</f>
        <v>Tidak terpenuhi</v>
      </c>
    </row>
    <row r="35" spans="1:4" hidden="1" x14ac:dyDescent="0.3">
      <c r="A35" s="30"/>
      <c r="B35" s="31"/>
      <c r="C35" s="36" t="s">
        <v>40</v>
      </c>
      <c r="D35" s="33" t="str">
        <f>IF(D30&lt;=10%,"Terpenuhi","Tidak terpenuhi")</f>
        <v>Tidak terpenuhi</v>
      </c>
    </row>
    <row r="36" spans="1:4" hidden="1" x14ac:dyDescent="0.3">
      <c r="A36" s="30"/>
      <c r="B36" s="31"/>
      <c r="C36" s="36" t="s">
        <v>5</v>
      </c>
      <c r="D36" s="33" t="str">
        <f>IF(OR(AND(C7="Tinggi",D30&lt;=20%),AND(C7="Rendah",D31=3)),"Terpenuhi","Tidak terpenuhi")</f>
        <v>Tidak terpenuhi</v>
      </c>
    </row>
    <row r="37" spans="1:4" hidden="1" x14ac:dyDescent="0.3">
      <c r="A37" s="30"/>
      <c r="B37" s="31"/>
      <c r="C37" s="36" t="s">
        <v>41</v>
      </c>
      <c r="D37" s="33" t="str">
        <f>IF(D30&lt;=20%,"Terpenuhi","Tidak terpenuhi")</f>
        <v>Tidak terpenuhi</v>
      </c>
    </row>
    <row r="38" spans="1:4" hidden="1" x14ac:dyDescent="0.3">
      <c r="A38" s="30"/>
      <c r="B38" s="31"/>
      <c r="C38" s="36" t="s">
        <v>42</v>
      </c>
      <c r="D38" s="33" t="str">
        <f>IF(D30&lt;=20%,"Terpenuhi","Tidak terpenuhi")</f>
        <v>Tidak terpenuhi</v>
      </c>
    </row>
    <row r="39" spans="1:4" hidden="1" x14ac:dyDescent="0.3">
      <c r="A39" s="30"/>
      <c r="B39" s="31"/>
      <c r="C39" s="36" t="s">
        <v>43</v>
      </c>
      <c r="D39" s="33" t="str">
        <f>IF(D30&lt;=20%,"Terpenuhi","Tidak terpenuhi")</f>
        <v>Tidak terpenuhi</v>
      </c>
    </row>
    <row r="40" spans="1:4" hidden="1" x14ac:dyDescent="0.3">
      <c r="A40" s="37"/>
      <c r="B40" s="38"/>
      <c r="C40" s="39" t="s">
        <v>44</v>
      </c>
      <c r="D40" s="33" t="str">
        <f>IF(D30&lt;=20%,"Terpenuhi","Tidak terpenuhi")</f>
        <v>Tidak terpenuhi</v>
      </c>
    </row>
    <row r="41" spans="1:4" ht="43.8" customHeight="1" x14ac:dyDescent="0.3">
      <c r="A41" s="26">
        <v>2</v>
      </c>
      <c r="B41" s="27" t="s">
        <v>45</v>
      </c>
      <c r="C41" s="28" t="s">
        <v>46</v>
      </c>
      <c r="D41" s="29" t="str">
        <f>IF($C$6="Doktor",D43,IF($C$6="Doktor Terapan",D44,IF($C$6="Magister",D45,IF($C$6="Magister Terapan",D46,IF($C$6="Sarjana",D47,IF(OR($C$6="Sarjana Terapan",$C$6="Diploma Empat"),D48,IF($C$6="Diploma Tiga",D49,IF($C$6="Diploma Dua",D50,IF($C$6="Diploma Satu",D51,"Tidak terpenuhi")))))))))</f>
        <v>Tidak terpenuhi</v>
      </c>
    </row>
    <row r="42" spans="1:4" ht="31.8" customHeight="1" x14ac:dyDescent="0.3">
      <c r="A42" s="30"/>
      <c r="B42" s="31"/>
      <c r="C42" s="32" t="s">
        <v>47</v>
      </c>
      <c r="D42" s="33">
        <f>COUNTA('Tabel 2a'!B5:B1048576)</f>
        <v>0</v>
      </c>
    </row>
    <row r="43" spans="1:4" hidden="1" x14ac:dyDescent="0.3">
      <c r="A43" s="30"/>
      <c r="B43" s="31"/>
      <c r="C43" s="36" t="s">
        <v>37</v>
      </c>
      <c r="D43" s="33" t="str">
        <f>IF(D42&gt;=5,"Terpenuhi","Tidak terpenuhi")</f>
        <v>Tidak terpenuhi</v>
      </c>
    </row>
    <row r="44" spans="1:4" hidden="1" x14ac:dyDescent="0.3">
      <c r="A44" s="30"/>
      <c r="B44" s="31"/>
      <c r="C44" s="36" t="s">
        <v>38</v>
      </c>
      <c r="D44" s="33" t="str">
        <f>IF(D42&gt;=5,"Terpenuhi","Tidak terpenuhi")</f>
        <v>Tidak terpenuhi</v>
      </c>
    </row>
    <row r="45" spans="1:4" hidden="1" x14ac:dyDescent="0.3">
      <c r="A45" s="30"/>
      <c r="B45" s="31"/>
      <c r="C45" s="36" t="s">
        <v>39</v>
      </c>
      <c r="D45" s="33" t="str">
        <f>IF(D42&gt;=5,"Terpenuhi","Tidak terpenuhi")</f>
        <v>Tidak terpenuhi</v>
      </c>
    </row>
    <row r="46" spans="1:4" hidden="1" x14ac:dyDescent="0.3">
      <c r="A46" s="30"/>
      <c r="B46" s="31"/>
      <c r="C46" s="36" t="s">
        <v>40</v>
      </c>
      <c r="D46" s="33" t="str">
        <f>IF(D42&gt;=5,"Terpenuhi","Tidak terpenuhi")</f>
        <v>Tidak terpenuhi</v>
      </c>
    </row>
    <row r="47" spans="1:4" hidden="1" x14ac:dyDescent="0.3">
      <c r="A47" s="30"/>
      <c r="B47" s="31"/>
      <c r="C47" s="36" t="s">
        <v>5</v>
      </c>
      <c r="D47" s="33" t="str">
        <f>IF(D42&gt;=10,"Terpenuhi","Tidak terpenuhi")</f>
        <v>Tidak terpenuhi</v>
      </c>
    </row>
    <row r="48" spans="1:4" hidden="1" x14ac:dyDescent="0.3">
      <c r="A48" s="30"/>
      <c r="B48" s="31"/>
      <c r="C48" s="36" t="s">
        <v>41</v>
      </c>
      <c r="D48" s="33" t="str">
        <f>IF(D42&gt;=10,"Terpenuhi","Tidak terpenuhi")</f>
        <v>Tidak terpenuhi</v>
      </c>
    </row>
    <row r="49" spans="1:4" hidden="1" x14ac:dyDescent="0.3">
      <c r="A49" s="30"/>
      <c r="B49" s="31"/>
      <c r="C49" s="36" t="s">
        <v>42</v>
      </c>
      <c r="D49" s="33" t="str">
        <f>IF(D42&gt;=10,"Terpenuhi","Tidak terpenuhi")</f>
        <v>Tidak terpenuhi</v>
      </c>
    </row>
    <row r="50" spans="1:4" hidden="1" x14ac:dyDescent="0.3">
      <c r="A50" s="30"/>
      <c r="B50" s="31"/>
      <c r="C50" s="36" t="s">
        <v>43</v>
      </c>
      <c r="D50" s="33" t="str">
        <f>IF(D42&gt;=5,"Terpenuhi","Tidak terpenuhi")</f>
        <v>Tidak terpenuhi</v>
      </c>
    </row>
    <row r="51" spans="1:4" hidden="1" x14ac:dyDescent="0.3">
      <c r="A51" s="37"/>
      <c r="B51" s="38"/>
      <c r="C51" s="39" t="s">
        <v>44</v>
      </c>
      <c r="D51" s="33" t="str">
        <f>IF(D42&gt;=5,"Terpenuhi","Tidak terpenuhi")</f>
        <v>Tidak terpenuhi</v>
      </c>
    </row>
    <row r="52" spans="1:4" ht="43.8" customHeight="1" x14ac:dyDescent="0.3">
      <c r="A52" s="26">
        <v>3</v>
      </c>
      <c r="B52" s="27" t="s">
        <v>45</v>
      </c>
      <c r="C52" s="28" t="s">
        <v>48</v>
      </c>
      <c r="D52" s="29" t="str">
        <f>IF($C$6="Doktor",D56,IF($C$6="Doktor Terapan",D57,IF($C$6="Magister",D58,IF($C$6="Magister Terapan",D59,IF($C$6="Sarjana",D60,IF(OR($C$6="Sarjana Terapan",$C$6="Diploma Empat"),D61,IF($C$6="Diploma Tiga",D62,IF($C$6="Diploma Dua",D63,IF($C$6="Diploma Satu",D64,"Terpenuhi")))))))))</f>
        <v>Terpenuhi</v>
      </c>
    </row>
    <row r="53" spans="1:4" ht="31.8" hidden="1" customHeight="1" x14ac:dyDescent="0.3">
      <c r="A53" s="30"/>
      <c r="B53" s="31"/>
      <c r="C53" s="32" t="s">
        <v>49</v>
      </c>
      <c r="D53" s="33">
        <f>COUNTA('Tabel 2b'!B5:B1048576)</f>
        <v>0</v>
      </c>
    </row>
    <row r="54" spans="1:4" ht="31.8" hidden="1" customHeight="1" x14ac:dyDescent="0.3">
      <c r="A54" s="30"/>
      <c r="B54" s="31"/>
      <c r="C54" s="32" t="s">
        <v>47</v>
      </c>
      <c r="D54" s="33">
        <f>COUNTA('Tabel 2a'!B5:B1048576)</f>
        <v>0</v>
      </c>
    </row>
    <row r="55" spans="1:4" ht="17.100000000000001" customHeight="1" x14ac:dyDescent="0.3">
      <c r="A55" s="30"/>
      <c r="B55" s="31"/>
      <c r="C55" s="40" t="s">
        <v>50</v>
      </c>
      <c r="D55" s="41">
        <f>IF(D54&gt;0,D53/(D53+D54),0)</f>
        <v>0</v>
      </c>
    </row>
    <row r="56" spans="1:4" hidden="1" x14ac:dyDescent="0.3">
      <c r="A56" s="30"/>
      <c r="B56" s="31"/>
      <c r="C56" s="36" t="s">
        <v>37</v>
      </c>
      <c r="D56" s="33" t="str">
        <f>IF(D55&lt;=40%,"Terpenuhi","Tidak terpenuhi")</f>
        <v>Terpenuhi</v>
      </c>
    </row>
    <row r="57" spans="1:4" hidden="1" x14ac:dyDescent="0.3">
      <c r="A57" s="30"/>
      <c r="B57" s="31"/>
      <c r="C57" s="36" t="s">
        <v>38</v>
      </c>
      <c r="D57" s="33" t="str">
        <f>IF(D55&lt;=40%,"Terpenuhi","Tidak terpenuhi")</f>
        <v>Terpenuhi</v>
      </c>
    </row>
    <row r="58" spans="1:4" hidden="1" x14ac:dyDescent="0.3">
      <c r="A58" s="30"/>
      <c r="B58" s="31"/>
      <c r="C58" s="36" t="s">
        <v>39</v>
      </c>
      <c r="D58" s="33" t="str">
        <f>IF(D55&lt;=40%,"Terpenuhi","Tidak terpenuhi")</f>
        <v>Terpenuhi</v>
      </c>
    </row>
    <row r="59" spans="1:4" hidden="1" x14ac:dyDescent="0.3">
      <c r="A59" s="30"/>
      <c r="B59" s="31"/>
      <c r="C59" s="36" t="s">
        <v>40</v>
      </c>
      <c r="D59" s="33" t="str">
        <f>IF(D55&lt;=40%,"Terpenuhi","Tidak terpenuhi")</f>
        <v>Terpenuhi</v>
      </c>
    </row>
    <row r="60" spans="1:4" hidden="1" x14ac:dyDescent="0.3">
      <c r="A60" s="30"/>
      <c r="B60" s="31"/>
      <c r="C60" s="36" t="s">
        <v>5</v>
      </c>
      <c r="D60" s="33" t="str">
        <f>IF(D55&lt;=40%,"Terpenuhi","Tidak terpenuhi")</f>
        <v>Terpenuhi</v>
      </c>
    </row>
    <row r="61" spans="1:4" hidden="1" x14ac:dyDescent="0.3">
      <c r="A61" s="30"/>
      <c r="B61" s="31"/>
      <c r="C61" s="36" t="s">
        <v>41</v>
      </c>
      <c r="D61" s="33" t="str">
        <f>IF(D55&lt;=40%,"Terpenuhi","Tidak terpenuhi")</f>
        <v>Terpenuhi</v>
      </c>
    </row>
    <row r="62" spans="1:4" hidden="1" x14ac:dyDescent="0.3">
      <c r="A62" s="30"/>
      <c r="B62" s="31"/>
      <c r="C62" s="36" t="s">
        <v>42</v>
      </c>
      <c r="D62" s="33" t="str">
        <f>IF(D55&lt;=40%,"Terpenuhi","Tidak terpenuhi")</f>
        <v>Terpenuhi</v>
      </c>
    </row>
    <row r="63" spans="1:4" hidden="1" x14ac:dyDescent="0.3">
      <c r="A63" s="30"/>
      <c r="B63" s="31"/>
      <c r="C63" s="36" t="s">
        <v>43</v>
      </c>
      <c r="D63" s="33" t="str">
        <f>IF(D55&lt;=40%,"Terpenuhi","Tidak terpenuhi")</f>
        <v>Terpenuhi</v>
      </c>
    </row>
    <row r="64" spans="1:4" hidden="1" x14ac:dyDescent="0.3">
      <c r="A64" s="37"/>
      <c r="B64" s="38"/>
      <c r="C64" s="39" t="s">
        <v>44</v>
      </c>
      <c r="D64" s="33" t="str">
        <f>IF(D55&lt;=40%,"Terpenuhi","Tidak terpenuhi")</f>
        <v>Terpenuhi</v>
      </c>
    </row>
    <row r="65" spans="1:4" ht="29.1" customHeight="1" x14ac:dyDescent="0.3">
      <c r="A65" s="26">
        <v>4</v>
      </c>
      <c r="B65" s="27" t="s">
        <v>45</v>
      </c>
      <c r="C65" s="28" t="s">
        <v>51</v>
      </c>
      <c r="D65" s="29" t="str">
        <f>IF($C$6="Doktor","",IF($C$6="Doktor Terapan","",IF($C$6="Magister","",IF($C$6="Magister Terapan","",IF($C$6="Sarjana",D73,IF(OR($C$6="Sarjana Terapan",$C$6="Diploma Empat"),D74,IF($C$6="Diploma Tiga",D75,IF($C$6="Diploma Dua",D76,IF($C$6="Diploma Satu",D77,"Terpenuhi")))))))))</f>
        <v>Terpenuhi</v>
      </c>
    </row>
    <row r="66" spans="1:4" ht="17.100000000000001" hidden="1" customHeight="1" x14ac:dyDescent="0.3">
      <c r="A66" s="30"/>
      <c r="B66" s="31"/>
      <c r="C66" s="32" t="s">
        <v>52</v>
      </c>
      <c r="D66" s="33">
        <f>'Tabel 1a'!F11</f>
        <v>0</v>
      </c>
    </row>
    <row r="67" spans="1:4" ht="31.8" hidden="1" customHeight="1" x14ac:dyDescent="0.3">
      <c r="A67" s="30"/>
      <c r="B67" s="31"/>
      <c r="C67" s="32" t="s">
        <v>47</v>
      </c>
      <c r="D67" s="33">
        <f>COUNTA('Tabel 2a'!B5:B1048576)</f>
        <v>0</v>
      </c>
    </row>
    <row r="68" spans="1:4" ht="17.100000000000001" customHeight="1" x14ac:dyDescent="0.3">
      <c r="A68" s="30"/>
      <c r="B68" s="31"/>
      <c r="C68" s="40" t="s">
        <v>53</v>
      </c>
      <c r="D68" s="42">
        <f>IF(D67&gt;0,D66/D67,0)</f>
        <v>0</v>
      </c>
    </row>
    <row r="69" spans="1:4" hidden="1" x14ac:dyDescent="0.3">
      <c r="A69" s="30"/>
      <c r="B69" s="31"/>
      <c r="C69" s="36" t="s">
        <v>37</v>
      </c>
      <c r="D69" s="43" t="s">
        <v>54</v>
      </c>
    </row>
    <row r="70" spans="1:4" hidden="1" x14ac:dyDescent="0.3">
      <c r="A70" s="30"/>
      <c r="B70" s="31"/>
      <c r="C70" s="36" t="s">
        <v>38</v>
      </c>
      <c r="D70" s="43" t="s">
        <v>54</v>
      </c>
    </row>
    <row r="71" spans="1:4" hidden="1" x14ac:dyDescent="0.3">
      <c r="A71" s="30"/>
      <c r="B71" s="31"/>
      <c r="C71" s="36" t="s">
        <v>39</v>
      </c>
      <c r="D71" s="43" t="s">
        <v>54</v>
      </c>
    </row>
    <row r="72" spans="1:4" hidden="1" x14ac:dyDescent="0.3">
      <c r="A72" s="30"/>
      <c r="B72" s="31"/>
      <c r="C72" s="36" t="s">
        <v>40</v>
      </c>
      <c r="D72" s="43" t="s">
        <v>54</v>
      </c>
    </row>
    <row r="73" spans="1:4" hidden="1" x14ac:dyDescent="0.3">
      <c r="A73" s="30"/>
      <c r="B73" s="31"/>
      <c r="C73" s="36" t="s">
        <v>5</v>
      </c>
      <c r="D73" s="33" t="str">
        <f>IF(OR(AND(C7="Tinggi",D68&lt;=60),C7="Rendah"),"Terpenuhi","Tidak terpenuhi")</f>
        <v>Terpenuhi</v>
      </c>
    </row>
    <row r="74" spans="1:4" hidden="1" x14ac:dyDescent="0.3">
      <c r="A74" s="30"/>
      <c r="B74" s="31"/>
      <c r="C74" s="36" t="s">
        <v>41</v>
      </c>
      <c r="D74" s="33" t="str">
        <f>IF(D68&lt;=60,"Terpenuhi","Tidak terpenuhi")</f>
        <v>Terpenuhi</v>
      </c>
    </row>
    <row r="75" spans="1:4" hidden="1" x14ac:dyDescent="0.3">
      <c r="A75" s="30"/>
      <c r="B75" s="31"/>
      <c r="C75" s="36" t="s">
        <v>42</v>
      </c>
      <c r="D75" s="33" t="str">
        <f>IF(D68&lt;=60,"Terpenuhi","Tidak terpenuhi")</f>
        <v>Terpenuhi</v>
      </c>
    </row>
    <row r="76" spans="1:4" hidden="1" x14ac:dyDescent="0.3">
      <c r="A76" s="30"/>
      <c r="B76" s="31"/>
      <c r="C76" s="36" t="s">
        <v>43</v>
      </c>
      <c r="D76" s="33" t="str">
        <f>IF(D68&lt;=60,"Terpenuhi","Tidak terpenuhi")</f>
        <v>Terpenuhi</v>
      </c>
    </row>
    <row r="77" spans="1:4" hidden="1" x14ac:dyDescent="0.3">
      <c r="A77" s="30"/>
      <c r="B77" s="38"/>
      <c r="C77" s="39" t="s">
        <v>44</v>
      </c>
      <c r="D77" s="33" t="str">
        <f>IF(D68&lt;=60,"Terpenuhi","Tidak terpenuhi")</f>
        <v>Terpenuhi</v>
      </c>
    </row>
    <row r="78" spans="1:4" ht="29.1" customHeight="1" x14ac:dyDescent="0.3">
      <c r="A78" s="26">
        <v>5</v>
      </c>
      <c r="B78" s="44" t="s">
        <v>55</v>
      </c>
      <c r="C78" s="28" t="s">
        <v>56</v>
      </c>
      <c r="D78" s="29" t="str">
        <f>IF($C$6="Doktor",D85,IF($C$6="Doktor Terapan",D86,IF($C$6="Magister",D87,IF($C$6="Magister Terapan",D88,IF($C$6="Sarjana",D89,IF(OR($C$6="Sarjana Terapan",$C$6="Diploma Empat"),D90,IF($C$6="Diploma Tiga",D91,IF($C$6="Diploma Dua",D92,IF($C$6="Diploma Satu",D93,"Tidak terpenuhi")))))))))</f>
        <v>Tidak terpenuhi</v>
      </c>
    </row>
    <row r="79" spans="1:4" ht="17.100000000000001" hidden="1" customHeight="1" x14ac:dyDescent="0.3">
      <c r="A79" s="30"/>
      <c r="B79" s="45"/>
      <c r="C79" s="32" t="s">
        <v>57</v>
      </c>
      <c r="D79" s="33">
        <f>'Tabel 3a'!C6</f>
        <v>0</v>
      </c>
    </row>
    <row r="80" spans="1:4" ht="17.100000000000001" hidden="1" customHeight="1" x14ac:dyDescent="0.3">
      <c r="A80" s="30"/>
      <c r="B80" s="45"/>
      <c r="C80" s="32" t="s">
        <v>58</v>
      </c>
      <c r="D80" s="33">
        <f>'Tabel 3a'!C7</f>
        <v>0</v>
      </c>
    </row>
    <row r="81" spans="1:8" ht="17.100000000000001" hidden="1" customHeight="1" x14ac:dyDescent="0.3">
      <c r="A81" s="30"/>
      <c r="B81" s="45"/>
      <c r="C81" s="32" t="s">
        <v>59</v>
      </c>
      <c r="D81" s="33">
        <f>'Tabel 3a'!C8</f>
        <v>0</v>
      </c>
    </row>
    <row r="82" spans="1:8" ht="17.100000000000001" customHeight="1" x14ac:dyDescent="0.3">
      <c r="A82" s="30"/>
      <c r="B82" s="45"/>
      <c r="C82" s="32" t="s">
        <v>60</v>
      </c>
      <c r="D82" s="34">
        <f>IF(AND(D79&gt;0,D80&gt;0),AVERAGE(-(D80-D79)/D79,-(D81-D80)/D80),100%)</f>
        <v>1</v>
      </c>
    </row>
    <row r="83" spans="1:8" ht="17.100000000000001" customHeight="1" x14ac:dyDescent="0.3">
      <c r="A83" s="37"/>
      <c r="B83" s="46"/>
      <c r="C83" s="47" t="s">
        <v>61</v>
      </c>
      <c r="D83" s="33">
        <f>COUNTIF(D79:D81,"&gt;0")</f>
        <v>0</v>
      </c>
    </row>
    <row r="84" spans="1:8" hidden="1" x14ac:dyDescent="0.3">
      <c r="A84" s="30"/>
      <c r="B84" s="45"/>
      <c r="C84" s="36" t="s">
        <v>37</v>
      </c>
      <c r="D84" s="33" t="str">
        <f>IF(D83=3,"Terpenuhi","Tidak terpenuhi")</f>
        <v>Tidak terpenuhi</v>
      </c>
    </row>
    <row r="85" spans="1:8" hidden="1" x14ac:dyDescent="0.3">
      <c r="A85" s="30"/>
      <c r="B85" s="45"/>
      <c r="C85" s="36" t="s">
        <v>38</v>
      </c>
      <c r="D85" s="33" t="str">
        <f>IF(D83=3,"Terpenuhi","Tidak terpenuhi")</f>
        <v>Tidak terpenuhi</v>
      </c>
    </row>
    <row r="86" spans="1:8" hidden="1" x14ac:dyDescent="0.3">
      <c r="A86" s="30"/>
      <c r="B86" s="45"/>
      <c r="C86" s="36" t="s">
        <v>39</v>
      </c>
      <c r="D86" s="33" t="str">
        <f>IF(D82&lt;=10%,"Terpenuhi","Tidak terpenuhi")</f>
        <v>Tidak terpenuhi</v>
      </c>
    </row>
    <row r="87" spans="1:8" hidden="1" x14ac:dyDescent="0.3">
      <c r="A87" s="30"/>
      <c r="B87" s="45"/>
      <c r="C87" s="36" t="s">
        <v>40</v>
      </c>
      <c r="D87" s="33" t="str">
        <f>IF(D82&lt;=10%,"Terpenuhi","Tidak terpenuhi")</f>
        <v>Tidak terpenuhi</v>
      </c>
    </row>
    <row r="88" spans="1:8" hidden="1" x14ac:dyDescent="0.3">
      <c r="A88" s="30"/>
      <c r="B88" s="45"/>
      <c r="C88" s="36" t="s">
        <v>5</v>
      </c>
      <c r="D88" s="33" t="str">
        <f>IF(OR(AND(C7="Tinggi",D82&lt;=20%),AND(C7="Rendah",D83=3)),"Terpenuhi","Tidak terpenuhi")</f>
        <v>Tidak terpenuhi</v>
      </c>
    </row>
    <row r="89" spans="1:8" hidden="1" x14ac:dyDescent="0.3">
      <c r="A89" s="30"/>
      <c r="B89" s="45"/>
      <c r="C89" s="36" t="s">
        <v>41</v>
      </c>
      <c r="D89" s="33" t="str">
        <f>IF(D82&lt;=20%,"Terpenuhi","Tidak terpenuhi")</f>
        <v>Tidak terpenuhi</v>
      </c>
    </row>
    <row r="90" spans="1:8" hidden="1" x14ac:dyDescent="0.3">
      <c r="A90" s="30"/>
      <c r="B90" s="45"/>
      <c r="C90" s="36" t="s">
        <v>42</v>
      </c>
      <c r="D90" s="33" t="str">
        <f>IF(D82&lt;=20%,"Terpenuhi","Tidak terpenuhi")</f>
        <v>Tidak terpenuhi</v>
      </c>
    </row>
    <row r="91" spans="1:8" hidden="1" x14ac:dyDescent="0.3">
      <c r="A91" s="30"/>
      <c r="B91" s="45"/>
      <c r="C91" s="36" t="s">
        <v>43</v>
      </c>
      <c r="D91" s="33" t="str">
        <f>IF(D82&lt;=20%,"Terpenuhi","Tidak terpenuhi")</f>
        <v>Tidak terpenuhi</v>
      </c>
    </row>
    <row r="92" spans="1:8" hidden="1" x14ac:dyDescent="0.3">
      <c r="A92" s="37"/>
      <c r="B92" s="46"/>
      <c r="C92" s="39" t="s">
        <v>44</v>
      </c>
      <c r="D92" s="33" t="str">
        <f>IF(D82&lt;=20%,"Terpenuhi","Tidak terpenuhi")</f>
        <v>Tidak terpenuhi</v>
      </c>
    </row>
    <row r="94" spans="1:8" ht="15.9" customHeight="1" x14ac:dyDescent="0.3">
      <c r="A94" s="17" t="s">
        <v>1</v>
      </c>
      <c r="B94" s="23"/>
      <c r="C94" s="23"/>
      <c r="D94" s="23"/>
      <c r="E94" s="23"/>
    </row>
    <row r="95" spans="1:8" x14ac:dyDescent="0.3">
      <c r="A95" s="24" t="s">
        <v>26</v>
      </c>
      <c r="B95" s="24" t="s">
        <v>27</v>
      </c>
      <c r="C95" s="24" t="s">
        <v>28</v>
      </c>
      <c r="D95" s="25" t="s">
        <v>62</v>
      </c>
      <c r="E95" s="48" t="s">
        <v>63</v>
      </c>
      <c r="F95" s="48" t="s">
        <v>64</v>
      </c>
      <c r="G95" s="48" t="s">
        <v>65</v>
      </c>
      <c r="H95" s="48" t="s">
        <v>66</v>
      </c>
    </row>
    <row r="96" spans="1:8" ht="29.1" customHeight="1" x14ac:dyDescent="0.3">
      <c r="A96" s="26">
        <v>1</v>
      </c>
      <c r="B96" s="27" t="s">
        <v>30</v>
      </c>
      <c r="C96" s="28" t="s">
        <v>67</v>
      </c>
      <c r="D96" s="29">
        <f>IF($C$6="Doktor",D100,IF($C$6="Doktor Terapan",D101,IF($C$6="Magister",D102,IF($C$6="Magister Terapan",D103,IF($C$6="Sarjana",D104,IF(OR($C$6="Sarjana Terapan",$C$6="Diploma Empat"),D105,IF($C$6="Diploma Tiga","",IF($C$6="Diploma Dua","",IF($C$6="Diploma Satu","",0)))))))))</f>
        <v>2</v>
      </c>
      <c r="E96" s="49"/>
      <c r="F96" s="49"/>
      <c r="G96" s="49"/>
      <c r="H96" s="49"/>
    </row>
    <row r="97" spans="1:8" ht="17.100000000000001" hidden="1" customHeight="1" x14ac:dyDescent="0.3">
      <c r="A97" s="30"/>
      <c r="B97" s="31"/>
      <c r="C97" s="32" t="s">
        <v>68</v>
      </c>
      <c r="D97" s="33">
        <f>SUM('Tabel 1b'!E6:F6)+SUM('Tabel 1b'!E8:F8)+SUM('Tabel 1b'!E10:F10)</f>
        <v>0</v>
      </c>
      <c r="E97" s="50"/>
      <c r="F97" s="50"/>
      <c r="G97" s="50"/>
      <c r="H97" s="50"/>
    </row>
    <row r="98" spans="1:8" ht="17.100000000000001" hidden="1" customHeight="1" x14ac:dyDescent="0.3">
      <c r="A98" s="30"/>
      <c r="B98" s="31"/>
      <c r="C98" s="32" t="s">
        <v>69</v>
      </c>
      <c r="D98" s="33">
        <f>'Tabel 1b'!D6+'Tabel 1b'!D8+'Tabel 1b'!D10</f>
        <v>0</v>
      </c>
      <c r="E98" s="50"/>
      <c r="F98" s="50"/>
      <c r="G98" s="50"/>
      <c r="H98" s="50"/>
    </row>
    <row r="99" spans="1:8" ht="17.100000000000001" customHeight="1" x14ac:dyDescent="0.3">
      <c r="A99" s="30"/>
      <c r="B99" s="31"/>
      <c r="C99" s="32" t="s">
        <v>70</v>
      </c>
      <c r="D99" s="34">
        <f>IF(D98&gt;0,D97/D98,0)</f>
        <v>0</v>
      </c>
      <c r="E99" s="50"/>
      <c r="F99" s="50"/>
      <c r="G99" s="50"/>
      <c r="H99" s="50"/>
    </row>
    <row r="100" spans="1:8" hidden="1" x14ac:dyDescent="0.3">
      <c r="A100" s="30"/>
      <c r="B100" s="31"/>
      <c r="C100" s="36" t="s">
        <v>37</v>
      </c>
      <c r="D100" s="51">
        <f>IF(D99&gt;=5%,4,2+40*D99)</f>
        <v>2</v>
      </c>
      <c r="E100" s="52">
        <v>4.55</v>
      </c>
      <c r="F100" s="52">
        <f t="shared" ref="F100:F105" si="0">D100*E100</f>
        <v>9.1</v>
      </c>
      <c r="G100" s="50"/>
      <c r="H100" s="50"/>
    </row>
    <row r="101" spans="1:8" hidden="1" x14ac:dyDescent="0.3">
      <c r="A101" s="30"/>
      <c r="B101" s="31"/>
      <c r="C101" s="36" t="s">
        <v>38</v>
      </c>
      <c r="D101" s="51">
        <f>IF(D99&gt;=5%,4,2+40*D99)</f>
        <v>2</v>
      </c>
      <c r="E101" s="52">
        <v>2.78</v>
      </c>
      <c r="F101" s="52">
        <f t="shared" si="0"/>
        <v>5.56</v>
      </c>
      <c r="G101" s="50"/>
      <c r="H101" s="50"/>
    </row>
    <row r="102" spans="1:8" hidden="1" x14ac:dyDescent="0.3">
      <c r="A102" s="30"/>
      <c r="B102" s="31"/>
      <c r="C102" s="36" t="s">
        <v>39</v>
      </c>
      <c r="D102" s="51">
        <f>IF(D99&gt;=2%,4,2+100*D99)</f>
        <v>2</v>
      </c>
      <c r="E102" s="52">
        <v>4.55</v>
      </c>
      <c r="F102" s="52">
        <f t="shared" si="0"/>
        <v>9.1</v>
      </c>
      <c r="G102" s="50"/>
      <c r="H102" s="50"/>
    </row>
    <row r="103" spans="1:8" hidden="1" x14ac:dyDescent="0.3">
      <c r="A103" s="30"/>
      <c r="B103" s="31"/>
      <c r="C103" s="36" t="s">
        <v>40</v>
      </c>
      <c r="D103" s="51">
        <f>IF(D99&gt;=2%,4,2+100*D99)</f>
        <v>2</v>
      </c>
      <c r="E103" s="52">
        <v>2.78</v>
      </c>
      <c r="F103" s="52">
        <f t="shared" si="0"/>
        <v>5.56</v>
      </c>
      <c r="G103" s="50"/>
      <c r="H103" s="50"/>
    </row>
    <row r="104" spans="1:8" hidden="1" x14ac:dyDescent="0.3">
      <c r="A104" s="30"/>
      <c r="B104" s="31"/>
      <c r="C104" s="36" t="s">
        <v>5</v>
      </c>
      <c r="D104" s="51">
        <f>IF(D99&gt;=1%,4,2+200*D99)</f>
        <v>2</v>
      </c>
      <c r="E104" s="52">
        <v>2.94</v>
      </c>
      <c r="F104" s="52">
        <f t="shared" si="0"/>
        <v>5.88</v>
      </c>
      <c r="G104" s="50"/>
      <c r="H104" s="50"/>
    </row>
    <row r="105" spans="1:8" hidden="1" x14ac:dyDescent="0.3">
      <c r="A105" s="30"/>
      <c r="B105" s="31"/>
      <c r="C105" s="36" t="s">
        <v>41</v>
      </c>
      <c r="D105" s="51">
        <f>IF(D99&gt;=1%,4,2+200*D99)</f>
        <v>2</v>
      </c>
      <c r="E105" s="52">
        <v>1.79</v>
      </c>
      <c r="F105" s="52">
        <f t="shared" si="0"/>
        <v>3.58</v>
      </c>
      <c r="G105" s="50"/>
      <c r="H105" s="50"/>
    </row>
    <row r="106" spans="1:8" hidden="1" x14ac:dyDescent="0.3">
      <c r="A106" s="30"/>
      <c r="B106" s="31"/>
      <c r="C106" s="36" t="s">
        <v>42</v>
      </c>
      <c r="D106" s="53" t="s">
        <v>54</v>
      </c>
      <c r="E106" s="52"/>
      <c r="F106" s="50"/>
      <c r="G106" s="50"/>
      <c r="H106" s="50"/>
    </row>
    <row r="107" spans="1:8" hidden="1" x14ac:dyDescent="0.3">
      <c r="A107" s="30"/>
      <c r="B107" s="31"/>
      <c r="C107" s="36" t="s">
        <v>43</v>
      </c>
      <c r="D107" s="53" t="s">
        <v>54</v>
      </c>
      <c r="E107" s="52"/>
      <c r="F107" s="50"/>
      <c r="G107" s="50"/>
      <c r="H107" s="50"/>
    </row>
    <row r="108" spans="1:8" hidden="1" x14ac:dyDescent="0.3">
      <c r="A108" s="37"/>
      <c r="B108" s="38"/>
      <c r="C108" s="39" t="s">
        <v>44</v>
      </c>
      <c r="D108" s="53" t="s">
        <v>54</v>
      </c>
      <c r="E108" s="52"/>
      <c r="F108" s="50"/>
      <c r="G108" s="50"/>
      <c r="H108" s="50"/>
    </row>
    <row r="109" spans="1:8" ht="29.1" customHeight="1" x14ac:dyDescent="0.3">
      <c r="A109" s="26">
        <v>2</v>
      </c>
      <c r="B109" s="27" t="s">
        <v>45</v>
      </c>
      <c r="C109" s="28" t="s">
        <v>71</v>
      </c>
      <c r="D109" s="29">
        <f>IF($C$6="Doktor",D111,IF($C$6="Doktor Terapan",D112,IF($C$6="Magister",D113,IF($C$6="Magister Terapan",D114,IF($C$6="Sarjana",D115,IF(OR($C$6="Sarjana Terapan",$C$6="Diploma Empat"),D116,IF($C$6="Diploma Tiga",D117,IF($C$6="Diploma Dua",D118,IF($C$6="Diploma Satu",D119,0)))))))))</f>
        <v>0</v>
      </c>
      <c r="E109" s="54"/>
      <c r="F109" s="49"/>
      <c r="G109" s="49"/>
      <c r="H109" s="49"/>
    </row>
    <row r="110" spans="1:8" ht="31.8" customHeight="1" x14ac:dyDescent="0.3">
      <c r="A110" s="30"/>
      <c r="B110" s="31"/>
      <c r="C110" s="32" t="s">
        <v>47</v>
      </c>
      <c r="D110" s="33">
        <f>COUNTA('Tabel 2a'!B5:B1048576)</f>
        <v>0</v>
      </c>
      <c r="E110" s="52"/>
      <c r="F110" s="50"/>
      <c r="G110" s="50"/>
      <c r="H110" s="50"/>
    </row>
    <row r="111" spans="1:8" hidden="1" x14ac:dyDescent="0.3">
      <c r="A111" s="30"/>
      <c r="B111" s="31"/>
      <c r="C111" s="36" t="s">
        <v>37</v>
      </c>
      <c r="D111" s="51">
        <f>IF(D110&gt;=10,4,IF(D110&gt;5,2*D110/5,0))</f>
        <v>0</v>
      </c>
      <c r="E111" s="52">
        <v>11.69</v>
      </c>
      <c r="F111" s="52">
        <f t="shared" ref="F111:F118" si="1">D111*E111</f>
        <v>0</v>
      </c>
      <c r="G111" s="50"/>
      <c r="H111" s="50"/>
    </row>
    <row r="112" spans="1:8" hidden="1" x14ac:dyDescent="0.3">
      <c r="A112" s="30"/>
      <c r="B112" s="31"/>
      <c r="C112" s="36" t="s">
        <v>38</v>
      </c>
      <c r="D112" s="51">
        <f>IF(D110&gt;=10,4,IF(D110&gt;5,2*D110/5,0))</f>
        <v>0</v>
      </c>
      <c r="E112" s="52">
        <v>11.9</v>
      </c>
      <c r="F112" s="52">
        <f t="shared" si="1"/>
        <v>0</v>
      </c>
      <c r="G112" s="50"/>
      <c r="H112" s="50"/>
    </row>
    <row r="113" spans="1:8" hidden="1" x14ac:dyDescent="0.3">
      <c r="A113" s="30"/>
      <c r="B113" s="31"/>
      <c r="C113" s="36" t="s">
        <v>39</v>
      </c>
      <c r="D113" s="51">
        <f>IF(D110&gt;=10,4,IF(D110&gt;5,2*D110/5,0))</f>
        <v>0</v>
      </c>
      <c r="E113" s="52">
        <v>11.69</v>
      </c>
      <c r="F113" s="52">
        <f t="shared" si="1"/>
        <v>0</v>
      </c>
      <c r="G113" s="50"/>
      <c r="H113" s="50"/>
    </row>
    <row r="114" spans="1:8" hidden="1" x14ac:dyDescent="0.3">
      <c r="A114" s="30"/>
      <c r="B114" s="31"/>
      <c r="C114" s="36" t="s">
        <v>40</v>
      </c>
      <c r="D114" s="51">
        <f>IF(D110&gt;=10,4,IF(D110&gt;5,2*D110/5,0))</f>
        <v>0</v>
      </c>
      <c r="E114" s="52">
        <v>11.9</v>
      </c>
      <c r="F114" s="52">
        <f t="shared" si="1"/>
        <v>0</v>
      </c>
      <c r="G114" s="50"/>
      <c r="H114" s="50"/>
    </row>
    <row r="115" spans="1:8" hidden="1" x14ac:dyDescent="0.3">
      <c r="A115" s="30"/>
      <c r="B115" s="31"/>
      <c r="C115" s="36" t="s">
        <v>5</v>
      </c>
      <c r="D115" s="51">
        <f>IF(D110&gt;=20,4,IF(D110&gt;10,D110/5,0))</f>
        <v>0</v>
      </c>
      <c r="E115" s="52">
        <v>7.56</v>
      </c>
      <c r="F115" s="52">
        <f t="shared" si="1"/>
        <v>0</v>
      </c>
      <c r="G115" s="50"/>
      <c r="H115" s="50"/>
    </row>
    <row r="116" spans="1:8" hidden="1" x14ac:dyDescent="0.3">
      <c r="A116" s="30"/>
      <c r="B116" s="31"/>
      <c r="C116" s="36" t="s">
        <v>41</v>
      </c>
      <c r="D116" s="51">
        <f>IF(D110&gt;=20,4,IF(D110&gt;10,D110/5,0))</f>
        <v>0</v>
      </c>
      <c r="E116" s="52">
        <v>7.65</v>
      </c>
      <c r="F116" s="52">
        <f t="shared" si="1"/>
        <v>0</v>
      </c>
      <c r="G116" s="50"/>
      <c r="H116" s="50"/>
    </row>
    <row r="117" spans="1:8" hidden="1" x14ac:dyDescent="0.3">
      <c r="A117" s="30"/>
      <c r="B117" s="31"/>
      <c r="C117" s="36" t="s">
        <v>42</v>
      </c>
      <c r="D117" s="51">
        <f>IF(D110&gt;=20,4,IF(D110&gt;10,D110/5,0))</f>
        <v>0</v>
      </c>
      <c r="E117" s="52">
        <v>6.12</v>
      </c>
      <c r="F117" s="52">
        <f t="shared" si="1"/>
        <v>0</v>
      </c>
      <c r="G117" s="50"/>
      <c r="H117" s="50"/>
    </row>
    <row r="118" spans="1:8" hidden="1" x14ac:dyDescent="0.3">
      <c r="A118" s="30"/>
      <c r="B118" s="31"/>
      <c r="C118" s="36" t="s">
        <v>43</v>
      </c>
      <c r="D118" s="51">
        <f>IF(D110&gt;=20,4,IF(D110&gt;10,D110/5,0))</f>
        <v>0</v>
      </c>
      <c r="E118" s="52">
        <v>6.12</v>
      </c>
      <c r="F118" s="52">
        <f t="shared" si="1"/>
        <v>0</v>
      </c>
      <c r="G118" s="50"/>
      <c r="H118" s="50"/>
    </row>
    <row r="119" spans="1:8" hidden="1" x14ac:dyDescent="0.3">
      <c r="A119" s="37"/>
      <c r="B119" s="38"/>
      <c r="C119" s="39" t="s">
        <v>44</v>
      </c>
      <c r="D119" s="51">
        <f>IF(D110&gt;=20,4,IF(D110&gt;10,D110/5,0))</f>
        <v>0</v>
      </c>
      <c r="E119" s="52">
        <v>6.12</v>
      </c>
      <c r="F119" s="52">
        <f>D118*E118</f>
        <v>0</v>
      </c>
      <c r="G119" s="50"/>
      <c r="H119" s="50"/>
    </row>
    <row r="120" spans="1:8" ht="29.1" customHeight="1" x14ac:dyDescent="0.3">
      <c r="A120" s="26">
        <v>3</v>
      </c>
      <c r="B120" s="27" t="s">
        <v>45</v>
      </c>
      <c r="C120" s="28" t="s">
        <v>72</v>
      </c>
      <c r="D120" s="29">
        <f>IF($C$6="Doktor","",IF($C$6="Doktor Terapan","",IF($C$6="Magister","",IF($C$6="Magister Terapan","",IF($C$6="Sarjana",D128,IF(OR($C$6="Sarjana Terapan",$C$6="Diploma Empat"),D129,IF($C$6="Diploma Tiga",D130,IF($C$6="Diploma Dua",D131,IF($C$6="Diploma Satu",D132,0)))))))))</f>
        <v>2</v>
      </c>
      <c r="E120" s="54"/>
      <c r="F120" s="49"/>
      <c r="G120" s="49"/>
      <c r="H120" s="49"/>
    </row>
    <row r="121" spans="1:8" ht="31.8" hidden="1" customHeight="1" x14ac:dyDescent="0.3">
      <c r="A121" s="30"/>
      <c r="B121" s="31"/>
      <c r="C121" s="32" t="s">
        <v>73</v>
      </c>
      <c r="D121" s="33">
        <f>COUNTIF('Tabel 2a'!D5:D1048576,"S3")+COUNTIF('Tabel 2a'!D5:D1048576,"Doktor")+COUNTIF('Tabel 2a'!D5:D1048576,"Doktor Terapan")+COUNTIF('Tabel 2a'!D5:D1048576,"Subspesialis")</f>
        <v>0</v>
      </c>
      <c r="E121" s="52"/>
      <c r="F121" s="50"/>
      <c r="G121" s="50"/>
      <c r="H121" s="50"/>
    </row>
    <row r="122" spans="1:8" ht="31.8" hidden="1" customHeight="1" x14ac:dyDescent="0.3">
      <c r="A122" s="30"/>
      <c r="B122" s="31"/>
      <c r="C122" s="32" t="s">
        <v>47</v>
      </c>
      <c r="D122" s="33">
        <f>COUNTA('Tabel 2a'!B5:B1048576)</f>
        <v>0</v>
      </c>
      <c r="E122" s="52"/>
      <c r="F122" s="50"/>
      <c r="G122" s="50"/>
      <c r="H122" s="50"/>
    </row>
    <row r="123" spans="1:8" ht="17.100000000000001" customHeight="1" x14ac:dyDescent="0.3">
      <c r="A123" s="30"/>
      <c r="B123" s="31"/>
      <c r="C123" s="32" t="s">
        <v>74</v>
      </c>
      <c r="D123" s="41">
        <f>IF(D122&gt;0,D121/D122,0)</f>
        <v>0</v>
      </c>
      <c r="E123" s="52"/>
      <c r="F123" s="50"/>
      <c r="G123" s="50"/>
      <c r="H123" s="50"/>
    </row>
    <row r="124" spans="1:8" hidden="1" x14ac:dyDescent="0.3">
      <c r="A124" s="30"/>
      <c r="B124" s="31"/>
      <c r="C124" s="36" t="s">
        <v>37</v>
      </c>
      <c r="D124" s="53" t="s">
        <v>54</v>
      </c>
      <c r="E124" s="52"/>
      <c r="F124" s="52"/>
      <c r="G124" s="50"/>
      <c r="H124" s="50"/>
    </row>
    <row r="125" spans="1:8" hidden="1" x14ac:dyDescent="0.3">
      <c r="A125" s="30"/>
      <c r="B125" s="31"/>
      <c r="C125" s="36" t="s">
        <v>38</v>
      </c>
      <c r="D125" s="53" t="s">
        <v>54</v>
      </c>
      <c r="E125" s="52"/>
      <c r="F125" s="52"/>
      <c r="G125" s="50"/>
      <c r="H125" s="50"/>
    </row>
    <row r="126" spans="1:8" hidden="1" x14ac:dyDescent="0.3">
      <c r="A126" s="30"/>
      <c r="B126" s="31"/>
      <c r="C126" s="36" t="s">
        <v>39</v>
      </c>
      <c r="D126" s="53" t="s">
        <v>54</v>
      </c>
      <c r="E126" s="52"/>
      <c r="F126" s="52"/>
      <c r="G126" s="50"/>
      <c r="H126" s="50"/>
    </row>
    <row r="127" spans="1:8" hidden="1" x14ac:dyDescent="0.3">
      <c r="A127" s="30"/>
      <c r="B127" s="31"/>
      <c r="C127" s="36" t="s">
        <v>40</v>
      </c>
      <c r="D127" s="53" t="s">
        <v>54</v>
      </c>
      <c r="E127" s="52"/>
      <c r="F127" s="52"/>
      <c r="G127" s="50"/>
      <c r="H127" s="50"/>
    </row>
    <row r="128" spans="1:8" hidden="1" x14ac:dyDescent="0.3">
      <c r="A128" s="30"/>
      <c r="B128" s="31"/>
      <c r="C128" s="36" t="s">
        <v>5</v>
      </c>
      <c r="D128" s="51">
        <f>IF(D123&gt;=50%,4,2+(4*D123))</f>
        <v>2</v>
      </c>
      <c r="E128" s="52">
        <v>10.08</v>
      </c>
      <c r="F128" s="52">
        <f>D128*E128</f>
        <v>20.16</v>
      </c>
      <c r="G128" s="50" t="str">
        <f>IF(D128&gt;=3.5,"Terpenuhi","Tidak terpenuhi")</f>
        <v>Tidak terpenuhi</v>
      </c>
      <c r="H128" s="50" t="str">
        <f>IF(D128&gt;=3,"Terpenuhi","Tidak terpenuhi")</f>
        <v>Tidak terpenuhi</v>
      </c>
    </row>
    <row r="129" spans="1:8" hidden="1" x14ac:dyDescent="0.3">
      <c r="A129" s="30"/>
      <c r="B129" s="31"/>
      <c r="C129" s="36" t="s">
        <v>41</v>
      </c>
      <c r="D129" s="51">
        <f>IF(D123&gt;=50%,4,2+(4*D123))</f>
        <v>2</v>
      </c>
      <c r="E129" s="52">
        <v>10.199999999999999</v>
      </c>
      <c r="F129" s="52">
        <f>D129*E129</f>
        <v>20.399999999999999</v>
      </c>
      <c r="G129" s="50" t="str">
        <f>IF(D129&gt;=3.5,"Terpenuhi","Tidak terpenuhi")</f>
        <v>Tidak terpenuhi</v>
      </c>
      <c r="H129" s="50" t="str">
        <f>IF(D129&gt;=3,"Terpenuhi","Tidak terpenuhi")</f>
        <v>Tidak terpenuhi</v>
      </c>
    </row>
    <row r="130" spans="1:8" hidden="1" x14ac:dyDescent="0.3">
      <c r="A130" s="30"/>
      <c r="B130" s="31"/>
      <c r="C130" s="36" t="s">
        <v>42</v>
      </c>
      <c r="D130" s="51">
        <f>IF(D123&gt;=30%,4,2+(20*D123/3))</f>
        <v>2</v>
      </c>
      <c r="E130" s="52">
        <v>8.16</v>
      </c>
      <c r="F130" s="52">
        <f>D130*E130</f>
        <v>16.32</v>
      </c>
      <c r="G130" s="50"/>
      <c r="H130" s="50"/>
    </row>
    <row r="131" spans="1:8" hidden="1" x14ac:dyDescent="0.3">
      <c r="A131" s="30"/>
      <c r="B131" s="31"/>
      <c r="C131" s="36" t="s">
        <v>43</v>
      </c>
      <c r="D131" s="51">
        <f>IF(D123&gt;=30%,4,2+(20*D123/3))</f>
        <v>2</v>
      </c>
      <c r="E131" s="52">
        <v>8.16</v>
      </c>
      <c r="F131" s="52">
        <f>D131*E131</f>
        <v>16.32</v>
      </c>
      <c r="G131" s="50"/>
      <c r="H131" s="50"/>
    </row>
    <row r="132" spans="1:8" hidden="1" x14ac:dyDescent="0.3">
      <c r="A132" s="37"/>
      <c r="B132" s="38"/>
      <c r="C132" s="39" t="s">
        <v>44</v>
      </c>
      <c r="D132" s="51">
        <f>IF(D123&gt;=30%,4,2+(20*D123/3))</f>
        <v>2</v>
      </c>
      <c r="E132" s="52">
        <v>8.16</v>
      </c>
      <c r="F132" s="52">
        <f>D131*E131</f>
        <v>16.32</v>
      </c>
      <c r="G132" s="50"/>
      <c r="H132" s="50"/>
    </row>
    <row r="133" spans="1:8" ht="29.1" customHeight="1" x14ac:dyDescent="0.3">
      <c r="A133" s="26">
        <v>4</v>
      </c>
      <c r="B133" s="27" t="s">
        <v>45</v>
      </c>
      <c r="C133" s="28" t="s">
        <v>75</v>
      </c>
      <c r="D133" s="29">
        <f>IF($C$6="Doktor",D141,IF($C$6="Doktor Terapan",D142,IF($C$6="Magister",D143,IF($C$6="Magister Terapan",D144,IF($C$6="Sarjana",D145,IF(OR($C$6="Sarjana Terapan",$C$6="Diploma Empat"),D146,IF($C$6="Diploma Tiga",D147,IF($C$6="Diploma Dua",D148,IF($C$6="Diploma Satu",D149,0)))))))))</f>
        <v>2</v>
      </c>
      <c r="E133" s="54"/>
      <c r="F133" s="49"/>
      <c r="G133" s="49"/>
      <c r="H133" s="49"/>
    </row>
    <row r="134" spans="1:8" ht="31.8" hidden="1" customHeight="1" x14ac:dyDescent="0.3">
      <c r="A134" s="30"/>
      <c r="B134" s="31"/>
      <c r="C134" s="32" t="s">
        <v>76</v>
      </c>
      <c r="D134" s="33">
        <f>COUNTIF('Tabel 2a'!E5:E1048576,"Profesor")+COUNTIF('Tabel 2a'!E5:E1048576,"Guru Besar")</f>
        <v>0</v>
      </c>
      <c r="E134" s="52"/>
      <c r="F134" s="50"/>
      <c r="G134" s="50"/>
      <c r="H134" s="50"/>
    </row>
    <row r="135" spans="1:8" ht="31.8" hidden="1" customHeight="1" x14ac:dyDescent="0.3">
      <c r="A135" s="30"/>
      <c r="B135" s="31"/>
      <c r="C135" s="32" t="s">
        <v>77</v>
      </c>
      <c r="D135" s="33">
        <f>COUNTIF('Tabel 2a'!E5:E1048576,"Lektor Kepala")</f>
        <v>0</v>
      </c>
      <c r="E135" s="52"/>
      <c r="F135" s="50"/>
      <c r="G135" s="50"/>
      <c r="H135" s="50"/>
    </row>
    <row r="136" spans="1:8" ht="31.8" hidden="1" customHeight="1" x14ac:dyDescent="0.3">
      <c r="A136" s="30"/>
      <c r="B136" s="31"/>
      <c r="C136" s="32" t="s">
        <v>78</v>
      </c>
      <c r="D136" s="33">
        <f>COUNTIF('Tabel 2a'!E5:E1048576,"Lektor")</f>
        <v>0</v>
      </c>
      <c r="E136" s="52"/>
      <c r="F136" s="50"/>
      <c r="G136" s="50"/>
      <c r="H136" s="50"/>
    </row>
    <row r="137" spans="1:8" ht="31.8" hidden="1" customHeight="1" x14ac:dyDescent="0.3">
      <c r="A137" s="30"/>
      <c r="B137" s="31"/>
      <c r="C137" s="32" t="s">
        <v>47</v>
      </c>
      <c r="D137" s="33">
        <f>COUNTA('Tabel 2a'!B5:B1048576)</f>
        <v>0</v>
      </c>
      <c r="E137" s="52"/>
      <c r="F137" s="50"/>
      <c r="G137" s="50"/>
      <c r="H137" s="50"/>
    </row>
    <row r="138" spans="1:8" ht="17.100000000000001" customHeight="1" x14ac:dyDescent="0.3">
      <c r="A138" s="30"/>
      <c r="B138" s="31"/>
      <c r="C138" s="32" t="s">
        <v>79</v>
      </c>
      <c r="D138" s="41">
        <f>IF(D137&gt;0,D134/D137,0)</f>
        <v>0</v>
      </c>
      <c r="E138" s="52"/>
      <c r="F138" s="50"/>
      <c r="G138" s="50"/>
      <c r="H138" s="50"/>
    </row>
    <row r="139" spans="1:8" ht="17.100000000000001" customHeight="1" x14ac:dyDescent="0.3">
      <c r="A139" s="30"/>
      <c r="B139" s="31"/>
      <c r="C139" s="32" t="s">
        <v>80</v>
      </c>
      <c r="D139" s="41">
        <f>IF(D137&gt;0,(D134+D135)/D137,0)</f>
        <v>0</v>
      </c>
      <c r="E139" s="52"/>
      <c r="F139" s="50"/>
      <c r="G139" s="50"/>
      <c r="H139" s="50"/>
    </row>
    <row r="140" spans="1:8" ht="17.100000000000001" customHeight="1" x14ac:dyDescent="0.3">
      <c r="A140" s="30"/>
      <c r="B140" s="31"/>
      <c r="C140" s="32" t="s">
        <v>81</v>
      </c>
      <c r="D140" s="41">
        <f>IF(D137&gt;0,(D134+D135+D136)/D137,0)</f>
        <v>0</v>
      </c>
      <c r="E140" s="52"/>
      <c r="F140" s="50"/>
      <c r="G140" s="50"/>
      <c r="H140" s="50"/>
    </row>
    <row r="141" spans="1:8" hidden="1" x14ac:dyDescent="0.3">
      <c r="A141" s="30"/>
      <c r="B141" s="31"/>
      <c r="C141" s="36" t="s">
        <v>37</v>
      </c>
      <c r="D141" s="51">
        <f>IF(AND(D134&gt;=2,D138&gt;=70%),4,IF(AND(D138&gt;=2,D138&lt;70%),2+(20*D138/7),0))</f>
        <v>0</v>
      </c>
      <c r="E141" s="52">
        <v>7.79</v>
      </c>
      <c r="F141" s="52">
        <f t="shared" ref="F141:F148" si="2">D141*E141</f>
        <v>0</v>
      </c>
      <c r="G141" s="50" t="str">
        <f t="shared" ref="G141:G147" si="3">IF(D141&gt;=3.5,"Terpenuhi","Tidak terpenuhi")</f>
        <v>Tidak terpenuhi</v>
      </c>
      <c r="H141" s="50" t="str">
        <f t="shared" ref="H141:H147" si="4">IF(D141&gt;=3,"Terpenuhi","Tidak terpenuhi")</f>
        <v>Tidak terpenuhi</v>
      </c>
    </row>
    <row r="142" spans="1:8" hidden="1" x14ac:dyDescent="0.3">
      <c r="A142" s="30"/>
      <c r="B142" s="31"/>
      <c r="C142" s="36" t="s">
        <v>38</v>
      </c>
      <c r="D142" s="51">
        <f>IF(AND(D134&gt;=2,D138&gt;=70%),4,IF(AND(D138&gt;=2,D138&lt;70%),2+(20*D138/7),0))</f>
        <v>0</v>
      </c>
      <c r="E142" s="52">
        <v>7.94</v>
      </c>
      <c r="F142" s="52">
        <f t="shared" si="2"/>
        <v>0</v>
      </c>
      <c r="G142" s="50" t="str">
        <f t="shared" si="3"/>
        <v>Tidak terpenuhi</v>
      </c>
      <c r="H142" s="50" t="str">
        <f t="shared" si="4"/>
        <v>Tidak terpenuhi</v>
      </c>
    </row>
    <row r="143" spans="1:8" hidden="1" x14ac:dyDescent="0.3">
      <c r="A143" s="30"/>
      <c r="B143" s="31"/>
      <c r="C143" s="36" t="s">
        <v>39</v>
      </c>
      <c r="D143" s="51">
        <f>IF(D139&gt;=70%,4,2+(20*D139/7))</f>
        <v>2</v>
      </c>
      <c r="E143" s="52">
        <v>7.79</v>
      </c>
      <c r="F143" s="52">
        <f t="shared" si="2"/>
        <v>15.58</v>
      </c>
      <c r="G143" s="50" t="str">
        <f t="shared" si="3"/>
        <v>Tidak terpenuhi</v>
      </c>
      <c r="H143" s="50" t="str">
        <f t="shared" si="4"/>
        <v>Tidak terpenuhi</v>
      </c>
    </row>
    <row r="144" spans="1:8" hidden="1" x14ac:dyDescent="0.3">
      <c r="A144" s="30"/>
      <c r="B144" s="31"/>
      <c r="C144" s="36" t="s">
        <v>40</v>
      </c>
      <c r="D144" s="51">
        <f>IF(D139&gt;=70%,4,2+(20*D139/7))</f>
        <v>2</v>
      </c>
      <c r="E144" s="52">
        <v>7.94</v>
      </c>
      <c r="F144" s="52">
        <f t="shared" si="2"/>
        <v>15.88</v>
      </c>
      <c r="G144" s="50" t="str">
        <f t="shared" si="3"/>
        <v>Tidak terpenuhi</v>
      </c>
      <c r="H144" s="50" t="str">
        <f t="shared" si="4"/>
        <v>Tidak terpenuhi</v>
      </c>
    </row>
    <row r="145" spans="1:8" hidden="1" x14ac:dyDescent="0.3">
      <c r="A145" s="30"/>
      <c r="B145" s="31"/>
      <c r="C145" s="36" t="s">
        <v>5</v>
      </c>
      <c r="D145" s="51">
        <f>IF(D140&gt;=70%,4,2+(20*D140/7))</f>
        <v>2</v>
      </c>
      <c r="E145" s="52">
        <v>7.56</v>
      </c>
      <c r="F145" s="52">
        <f t="shared" si="2"/>
        <v>15.12</v>
      </c>
      <c r="G145" s="50" t="str">
        <f t="shared" si="3"/>
        <v>Tidak terpenuhi</v>
      </c>
      <c r="H145" s="50" t="str">
        <f t="shared" si="4"/>
        <v>Tidak terpenuhi</v>
      </c>
    </row>
    <row r="146" spans="1:8" hidden="1" x14ac:dyDescent="0.3">
      <c r="A146" s="30"/>
      <c r="B146" s="31"/>
      <c r="C146" s="36" t="s">
        <v>41</v>
      </c>
      <c r="D146" s="51">
        <f>IF(D140&gt;=70%,4,2+(20*D140/7))</f>
        <v>2</v>
      </c>
      <c r="E146" s="52">
        <v>7.65</v>
      </c>
      <c r="F146" s="52">
        <f t="shared" si="2"/>
        <v>15.3</v>
      </c>
      <c r="G146" s="50" t="str">
        <f t="shared" si="3"/>
        <v>Tidak terpenuhi</v>
      </c>
      <c r="H146" s="50" t="str">
        <f t="shared" si="4"/>
        <v>Tidak terpenuhi</v>
      </c>
    </row>
    <row r="147" spans="1:8" hidden="1" x14ac:dyDescent="0.3">
      <c r="A147" s="30"/>
      <c r="B147" s="31"/>
      <c r="C147" s="36" t="s">
        <v>42</v>
      </c>
      <c r="D147" s="51">
        <f>IF(D140&gt;=70%,4,2+(20*D140/7))</f>
        <v>2</v>
      </c>
      <c r="E147" s="52">
        <v>6.12</v>
      </c>
      <c r="F147" s="52">
        <f t="shared" si="2"/>
        <v>12.24</v>
      </c>
      <c r="G147" s="50" t="str">
        <f t="shared" si="3"/>
        <v>Tidak terpenuhi</v>
      </c>
      <c r="H147" s="50" t="str">
        <f t="shared" si="4"/>
        <v>Tidak terpenuhi</v>
      </c>
    </row>
    <row r="148" spans="1:8" hidden="1" x14ac:dyDescent="0.3">
      <c r="A148" s="30"/>
      <c r="B148" s="31"/>
      <c r="C148" s="36" t="s">
        <v>43</v>
      </c>
      <c r="D148" s="51">
        <f>IF(D140&gt;=70%,4,2+(20*D140/7))</f>
        <v>2</v>
      </c>
      <c r="E148" s="52">
        <v>6.12</v>
      </c>
      <c r="F148" s="52">
        <f t="shared" si="2"/>
        <v>12.24</v>
      </c>
      <c r="G148" s="50"/>
      <c r="H148" s="50"/>
    </row>
    <row r="149" spans="1:8" hidden="1" x14ac:dyDescent="0.3">
      <c r="A149" s="37"/>
      <c r="B149" s="38"/>
      <c r="C149" s="39" t="s">
        <v>44</v>
      </c>
      <c r="D149" s="51">
        <f>IF(D140&gt;=70%,4,2+(20*D140/7))</f>
        <v>2</v>
      </c>
      <c r="E149" s="52">
        <v>6.12</v>
      </c>
      <c r="F149" s="52">
        <f>D148*E148</f>
        <v>12.24</v>
      </c>
      <c r="G149" s="50"/>
      <c r="H149" s="50"/>
    </row>
    <row r="150" spans="1:8" ht="29.1" customHeight="1" x14ac:dyDescent="0.3">
      <c r="A150" s="26">
        <v>5</v>
      </c>
      <c r="B150" s="27" t="s">
        <v>45</v>
      </c>
      <c r="C150" s="28" t="s">
        <v>51</v>
      </c>
      <c r="D150" s="29">
        <f>IF($C$6="Doktor","",IF($C$6="Doktor Terapan","",IF($C$6="Magister","",IF($C$6="Magister Terapan","",IF($C$6="Sarjana",D158,IF(OR($C$6="Sarjana Terapan",$C$6="Diploma Empat"),D159,IF($C$6="Diploma Tiga",D160,IF($C$6="Diploma Dua",D161,IF($C$6="Diploma Satu",D162,0)))))))))</f>
        <v>0</v>
      </c>
      <c r="E150" s="54"/>
      <c r="F150" s="49"/>
      <c r="G150" s="49"/>
      <c r="H150" s="49"/>
    </row>
    <row r="151" spans="1:8" ht="17.100000000000001" hidden="1" customHeight="1" x14ac:dyDescent="0.3">
      <c r="A151" s="30"/>
      <c r="B151" s="31"/>
      <c r="C151" s="32" t="s">
        <v>52</v>
      </c>
      <c r="D151" s="33">
        <f>'Tabel 1a'!F11</f>
        <v>0</v>
      </c>
      <c r="E151" s="52"/>
      <c r="F151" s="50"/>
      <c r="G151" s="50"/>
      <c r="H151" s="50"/>
    </row>
    <row r="152" spans="1:8" ht="31.8" hidden="1" customHeight="1" x14ac:dyDescent="0.3">
      <c r="A152" s="30"/>
      <c r="B152" s="31"/>
      <c r="C152" s="32" t="s">
        <v>47</v>
      </c>
      <c r="D152" s="33">
        <f>COUNTA('Tabel 2a'!B5:B1048576)</f>
        <v>0</v>
      </c>
      <c r="E152" s="52"/>
      <c r="F152" s="50"/>
      <c r="G152" s="50"/>
      <c r="H152" s="50"/>
    </row>
    <row r="153" spans="1:8" ht="17.100000000000001" customHeight="1" x14ac:dyDescent="0.3">
      <c r="A153" s="30"/>
      <c r="B153" s="31"/>
      <c r="C153" s="55" t="s">
        <v>53</v>
      </c>
      <c r="D153" s="42">
        <f>IF(D152&gt;0,D151/D152,0)</f>
        <v>0</v>
      </c>
      <c r="E153" s="52"/>
      <c r="F153" s="50"/>
      <c r="G153" s="50"/>
      <c r="H153" s="50"/>
    </row>
    <row r="154" spans="1:8" hidden="1" x14ac:dyDescent="0.3">
      <c r="A154" s="30"/>
      <c r="B154" s="31"/>
      <c r="C154" s="36" t="s">
        <v>37</v>
      </c>
      <c r="D154" s="53" t="s">
        <v>54</v>
      </c>
      <c r="E154" s="52"/>
      <c r="F154" s="52"/>
      <c r="G154" s="50"/>
      <c r="H154" s="50"/>
    </row>
    <row r="155" spans="1:8" hidden="1" x14ac:dyDescent="0.3">
      <c r="A155" s="30"/>
      <c r="B155" s="31"/>
      <c r="C155" s="36" t="s">
        <v>38</v>
      </c>
      <c r="D155" s="53" t="s">
        <v>54</v>
      </c>
      <c r="E155" s="52"/>
      <c r="F155" s="52"/>
      <c r="G155" s="50"/>
      <c r="H155" s="50"/>
    </row>
    <row r="156" spans="1:8" hidden="1" x14ac:dyDescent="0.3">
      <c r="A156" s="30"/>
      <c r="B156" s="31"/>
      <c r="C156" s="36" t="s">
        <v>39</v>
      </c>
      <c r="D156" s="53" t="s">
        <v>54</v>
      </c>
      <c r="E156" s="52"/>
      <c r="F156" s="52"/>
      <c r="G156" s="50"/>
      <c r="H156" s="50"/>
    </row>
    <row r="157" spans="1:8" hidden="1" x14ac:dyDescent="0.3">
      <c r="A157" s="30"/>
      <c r="B157" s="31"/>
      <c r="C157" s="36" t="s">
        <v>40</v>
      </c>
      <c r="D157" s="53" t="s">
        <v>54</v>
      </c>
      <c r="E157" s="52"/>
      <c r="F157" s="52"/>
      <c r="G157" s="50"/>
      <c r="H157" s="50"/>
    </row>
    <row r="158" spans="1:8" hidden="1" x14ac:dyDescent="0.3">
      <c r="A158" s="30"/>
      <c r="B158" s="31"/>
      <c r="C158" s="36" t="s">
        <v>5</v>
      </c>
      <c r="D158" s="51">
        <f>IF(C7="Tinggi",IF(D153&gt;60,0,IF(D153&gt;35,(240-4*D153)/25,IF(D153&gt;=15,4,4*D153/15))),D109)</f>
        <v>0</v>
      </c>
      <c r="E158" s="52">
        <v>5.04</v>
      </c>
      <c r="F158" s="52">
        <f>D158*E158</f>
        <v>0</v>
      </c>
      <c r="G158" s="50"/>
      <c r="H158" s="50"/>
    </row>
    <row r="159" spans="1:8" hidden="1" x14ac:dyDescent="0.3">
      <c r="A159" s="30"/>
      <c r="B159" s="31"/>
      <c r="C159" s="36" t="s">
        <v>41</v>
      </c>
      <c r="D159" s="51">
        <f>IF(D153&gt;60,0,IF(D153&gt;35,(240-4*D153)/25,IF(D153&gt;=15,4,4*D153/15)))</f>
        <v>0</v>
      </c>
      <c r="E159" s="52">
        <v>5.0999999999999996</v>
      </c>
      <c r="F159" s="52">
        <f>D159*E159</f>
        <v>0</v>
      </c>
      <c r="G159" s="50"/>
      <c r="H159" s="50"/>
    </row>
    <row r="160" spans="1:8" hidden="1" x14ac:dyDescent="0.3">
      <c r="A160" s="30"/>
      <c r="B160" s="31"/>
      <c r="C160" s="36" t="s">
        <v>42</v>
      </c>
      <c r="D160" s="51">
        <f>IF(D153&gt;60,0,IF(D153&gt;25,(240-4*D153)/35,IF(D153&gt;=10,4,2*D153/5)))</f>
        <v>0</v>
      </c>
      <c r="E160" s="52">
        <v>4.08</v>
      </c>
      <c r="F160" s="52">
        <f>D160*E160</f>
        <v>0</v>
      </c>
      <c r="G160" s="50"/>
      <c r="H160" s="50"/>
    </row>
    <row r="161" spans="1:8" hidden="1" x14ac:dyDescent="0.3">
      <c r="A161" s="30"/>
      <c r="B161" s="31"/>
      <c r="C161" s="36" t="s">
        <v>43</v>
      </c>
      <c r="D161" s="51">
        <f>IF(D153&gt;60,0,IF(D153&gt;25,(240-4*D153)/35,IF(D153&gt;=10,4,2*D153/5)))</f>
        <v>0</v>
      </c>
      <c r="E161" s="52">
        <v>4.08</v>
      </c>
      <c r="F161" s="52">
        <f>D161*E161</f>
        <v>0</v>
      </c>
      <c r="G161" s="50"/>
      <c r="H161" s="50"/>
    </row>
    <row r="162" spans="1:8" hidden="1" x14ac:dyDescent="0.3">
      <c r="A162" s="37"/>
      <c r="B162" s="38"/>
      <c r="C162" s="39" t="s">
        <v>44</v>
      </c>
      <c r="D162" s="51">
        <f>IF(D153&gt;60,0,IF(D153&gt;25,(240-4*D153)/35,IF(D153&gt;=10,4,2*D153/5)))</f>
        <v>0</v>
      </c>
      <c r="E162" s="52">
        <v>4.08</v>
      </c>
      <c r="F162" s="52">
        <f>D161*E161</f>
        <v>0</v>
      </c>
      <c r="G162" s="50"/>
      <c r="H162" s="50"/>
    </row>
    <row r="163" spans="1:8" ht="29.1" customHeight="1" x14ac:dyDescent="0.3">
      <c r="A163" s="26">
        <v>6</v>
      </c>
      <c r="B163" s="27" t="s">
        <v>45</v>
      </c>
      <c r="C163" s="28" t="s">
        <v>82</v>
      </c>
      <c r="D163" s="29">
        <f>IF($C$6="Doktor",D167,IF($C$6="Doktor Terapan",D168,IF($C$6="Magister",D169,IF($C$6="Magister Terapan",D170,IF($C$6="Sarjana",D171,IF(OR($C$6="Sarjana Terapan",$C$6="Diploma Empat"),D172,IF($C$6="Diploma Tiga",D173,IF($C$6="Diploma Dua",D174,IF($C$6="Diploma Satu",D175,0)))))))))</f>
        <v>4</v>
      </c>
      <c r="E163" s="54"/>
      <c r="F163" s="49"/>
      <c r="G163" s="49"/>
      <c r="H163" s="49"/>
    </row>
    <row r="164" spans="1:8" ht="31.8" hidden="1" customHeight="1" x14ac:dyDescent="0.3">
      <c r="A164" s="30"/>
      <c r="B164" s="31"/>
      <c r="C164" s="32" t="s">
        <v>49</v>
      </c>
      <c r="D164" s="33">
        <f>COUNTA('Tabel 2b'!B5:B1048576)</f>
        <v>0</v>
      </c>
      <c r="E164" s="52"/>
      <c r="F164" s="50"/>
      <c r="G164" s="50"/>
      <c r="H164" s="50"/>
    </row>
    <row r="165" spans="1:8" ht="31.8" hidden="1" customHeight="1" x14ac:dyDescent="0.3">
      <c r="A165" s="30"/>
      <c r="B165" s="31"/>
      <c r="C165" s="32" t="s">
        <v>47</v>
      </c>
      <c r="D165" s="33">
        <f>COUNTA('Tabel 2a'!B5:B1048576)</f>
        <v>0</v>
      </c>
      <c r="E165" s="52"/>
      <c r="F165" s="50"/>
      <c r="G165" s="50"/>
      <c r="H165" s="50"/>
    </row>
    <row r="166" spans="1:8" ht="17.100000000000001" customHeight="1" x14ac:dyDescent="0.3">
      <c r="A166" s="30"/>
      <c r="B166" s="31"/>
      <c r="C166" s="55" t="s">
        <v>50</v>
      </c>
      <c r="D166" s="41">
        <f>IF(D165&gt;0,D164/(D164+D165),0)</f>
        <v>0</v>
      </c>
      <c r="E166" s="52"/>
      <c r="F166" s="50"/>
      <c r="G166" s="50"/>
      <c r="H166" s="50"/>
    </row>
    <row r="167" spans="1:8" hidden="1" x14ac:dyDescent="0.3">
      <c r="A167" s="30"/>
      <c r="B167" s="31"/>
      <c r="C167" s="36" t="s">
        <v>37</v>
      </c>
      <c r="D167" s="51">
        <f>IF(D166&gt;40%,0,IF(D166&gt;=10%,(14-20*D166)/3,4))</f>
        <v>4</v>
      </c>
      <c r="E167" s="52">
        <v>7.79</v>
      </c>
      <c r="F167" s="52">
        <f t="shared" ref="F167:F174" si="5">D167*E167</f>
        <v>31.16</v>
      </c>
      <c r="G167" s="50"/>
      <c r="H167" s="50"/>
    </row>
    <row r="168" spans="1:8" hidden="1" x14ac:dyDescent="0.3">
      <c r="A168" s="30"/>
      <c r="B168" s="31"/>
      <c r="C168" s="36" t="s">
        <v>38</v>
      </c>
      <c r="D168" s="51">
        <f>IF(D166&gt;40%,0,IF(D166&gt;=10%,(14-20*D166)/3,4))</f>
        <v>4</v>
      </c>
      <c r="E168" s="52">
        <v>7.94</v>
      </c>
      <c r="F168" s="52">
        <f t="shared" si="5"/>
        <v>31.76</v>
      </c>
      <c r="G168" s="50"/>
      <c r="H168" s="50"/>
    </row>
    <row r="169" spans="1:8" hidden="1" x14ac:dyDescent="0.3">
      <c r="A169" s="30"/>
      <c r="B169" s="31"/>
      <c r="C169" s="36" t="s">
        <v>39</v>
      </c>
      <c r="D169" s="51">
        <f>IF(D166&gt;40%,0,IF(D166&gt;=10%,(14-20*D166)/3,4))</f>
        <v>4</v>
      </c>
      <c r="E169" s="52">
        <v>7.79</v>
      </c>
      <c r="F169" s="52">
        <f t="shared" si="5"/>
        <v>31.16</v>
      </c>
      <c r="G169" s="50"/>
      <c r="H169" s="50"/>
    </row>
    <row r="170" spans="1:8" hidden="1" x14ac:dyDescent="0.3">
      <c r="A170" s="30"/>
      <c r="B170" s="31"/>
      <c r="C170" s="36" t="s">
        <v>40</v>
      </c>
      <c r="D170" s="51">
        <f>IF(D166&gt;40%,0,IF(D166&gt;=10%,(14-20*D166)/3,4))</f>
        <v>4</v>
      </c>
      <c r="E170" s="52">
        <v>7.94</v>
      </c>
      <c r="F170" s="52">
        <f t="shared" si="5"/>
        <v>31.76</v>
      </c>
      <c r="G170" s="50"/>
      <c r="H170" s="50"/>
    </row>
    <row r="171" spans="1:8" hidden="1" x14ac:dyDescent="0.3">
      <c r="A171" s="30"/>
      <c r="B171" s="31"/>
      <c r="C171" s="36" t="s">
        <v>5</v>
      </c>
      <c r="D171" s="51">
        <f>IF(D166&gt;40%,0,IF(D166&gt;=10%,(14-20*D166)/3,4))</f>
        <v>4</v>
      </c>
      <c r="E171" s="52">
        <v>5.04</v>
      </c>
      <c r="F171" s="52">
        <f t="shared" si="5"/>
        <v>20.16</v>
      </c>
      <c r="G171" s="50"/>
      <c r="H171" s="50"/>
    </row>
    <row r="172" spans="1:8" hidden="1" x14ac:dyDescent="0.3">
      <c r="A172" s="30"/>
      <c r="B172" s="31"/>
      <c r="C172" s="36" t="s">
        <v>41</v>
      </c>
      <c r="D172" s="51">
        <f>IF(D166&gt;40%,0,IF(D166&gt;=10%,(14-20*D166)/3,4))</f>
        <v>4</v>
      </c>
      <c r="E172" s="52">
        <v>5.0999999999999996</v>
      </c>
      <c r="F172" s="52">
        <f t="shared" si="5"/>
        <v>20.399999999999999</v>
      </c>
      <c r="G172" s="50"/>
      <c r="H172" s="50"/>
    </row>
    <row r="173" spans="1:8" hidden="1" x14ac:dyDescent="0.3">
      <c r="A173" s="30"/>
      <c r="B173" s="31"/>
      <c r="C173" s="36" t="s">
        <v>42</v>
      </c>
      <c r="D173" s="51">
        <f>IF(D166&gt;40%,0,IF(D166&gt;=10%,(14-20*D166)/3,4))</f>
        <v>4</v>
      </c>
      <c r="E173" s="52">
        <v>4.08</v>
      </c>
      <c r="F173" s="52">
        <f t="shared" si="5"/>
        <v>16.32</v>
      </c>
      <c r="G173" s="50"/>
      <c r="H173" s="50"/>
    </row>
    <row r="174" spans="1:8" hidden="1" x14ac:dyDescent="0.3">
      <c r="A174" s="30"/>
      <c r="B174" s="31"/>
      <c r="C174" s="36" t="s">
        <v>43</v>
      </c>
      <c r="D174" s="51">
        <f>IF(D166&gt;40%,0,IF(D166&gt;=10%,(14-20*D166)/3,4))</f>
        <v>4</v>
      </c>
      <c r="E174" s="52">
        <v>4.08</v>
      </c>
      <c r="F174" s="52">
        <f t="shared" si="5"/>
        <v>16.32</v>
      </c>
      <c r="G174" s="50"/>
      <c r="H174" s="50"/>
    </row>
    <row r="175" spans="1:8" hidden="1" x14ac:dyDescent="0.3">
      <c r="A175" s="37"/>
      <c r="B175" s="38"/>
      <c r="C175" s="39" t="s">
        <v>44</v>
      </c>
      <c r="D175" s="51">
        <f>IF(D166&gt;40%,0,IF(D166&gt;=10%,(14-20*D166)/3,4))</f>
        <v>4</v>
      </c>
      <c r="E175" s="52">
        <v>4.08</v>
      </c>
      <c r="F175" s="52">
        <f>D174*E174</f>
        <v>16.32</v>
      </c>
      <c r="G175" s="50"/>
      <c r="H175" s="50"/>
    </row>
    <row r="176" spans="1:8" ht="29.1" customHeight="1" x14ac:dyDescent="0.3">
      <c r="A176" s="26">
        <v>7</v>
      </c>
      <c r="B176" s="27" t="s">
        <v>83</v>
      </c>
      <c r="C176" s="28" t="s">
        <v>84</v>
      </c>
      <c r="D176" s="29">
        <f>IF($C$6="Doktor",D184,IF($C$6="Doktor Terapan",D185,IF($C$6="Magister",D186,IF($C$6="Magister Terapan",D187,IF($C$6="Sarjana",D188,IF(OR($C$6="Sarjana Terapan",$C$6="Diploma Empat"),D189,IF($C$6="Diploma Tiga",D190,IF($C$6="Diploma Dua",D191,IF($C$6="Diploma Satu",D192,0)))))))))</f>
        <v>0</v>
      </c>
      <c r="E176" s="54"/>
      <c r="F176" s="49"/>
      <c r="G176" s="49"/>
      <c r="H176" s="49"/>
    </row>
    <row r="177" spans="1:8" ht="14.7" hidden="1" customHeight="1" x14ac:dyDescent="0.3">
      <c r="A177" s="30"/>
      <c r="B177" s="31"/>
      <c r="C177" s="56" t="s">
        <v>57</v>
      </c>
      <c r="D177" s="33">
        <f>'Tabel 3a'!C6</f>
        <v>0</v>
      </c>
      <c r="E177" s="52"/>
      <c r="F177" s="50"/>
      <c r="G177" s="50"/>
      <c r="H177" s="50"/>
    </row>
    <row r="178" spans="1:8" ht="14.7" hidden="1" customHeight="1" x14ac:dyDescent="0.3">
      <c r="A178" s="30"/>
      <c r="B178" s="31"/>
      <c r="C178" s="56" t="s">
        <v>85</v>
      </c>
      <c r="D178" s="33">
        <f>'Tabel 3a'!E6</f>
        <v>0</v>
      </c>
      <c r="E178" s="52"/>
      <c r="F178" s="50"/>
      <c r="G178" s="50"/>
      <c r="H178" s="50"/>
    </row>
    <row r="179" spans="1:8" ht="14.7" hidden="1" customHeight="1" x14ac:dyDescent="0.3">
      <c r="A179" s="30"/>
      <c r="B179" s="31"/>
      <c r="C179" s="56" t="s">
        <v>58</v>
      </c>
      <c r="D179" s="33">
        <f>'Tabel 3a'!C7</f>
        <v>0</v>
      </c>
      <c r="E179" s="52"/>
      <c r="F179" s="50"/>
      <c r="G179" s="50"/>
      <c r="H179" s="50"/>
    </row>
    <row r="180" spans="1:8" ht="14.7" hidden="1" customHeight="1" x14ac:dyDescent="0.3">
      <c r="A180" s="30"/>
      <c r="B180" s="31"/>
      <c r="C180" s="56" t="s">
        <v>86</v>
      </c>
      <c r="D180" s="33">
        <f>'Tabel 3a'!E7</f>
        <v>0</v>
      </c>
      <c r="E180" s="52"/>
      <c r="F180" s="50"/>
      <c r="G180" s="50"/>
      <c r="H180" s="50"/>
    </row>
    <row r="181" spans="1:8" ht="14.7" hidden="1" customHeight="1" x14ac:dyDescent="0.3">
      <c r="A181" s="30"/>
      <c r="B181" s="31"/>
      <c r="C181" s="56" t="s">
        <v>59</v>
      </c>
      <c r="D181" s="33">
        <f>'Tabel 3a'!C8</f>
        <v>0</v>
      </c>
      <c r="E181" s="52"/>
      <c r="F181" s="50"/>
      <c r="G181" s="50"/>
      <c r="H181" s="50"/>
    </row>
    <row r="182" spans="1:8" hidden="1" x14ac:dyDescent="0.3">
      <c r="A182" s="30"/>
      <c r="B182" s="31"/>
      <c r="C182" s="56" t="s">
        <v>87</v>
      </c>
      <c r="D182" s="33">
        <f>'Tabel 3a'!E8</f>
        <v>0</v>
      </c>
      <c r="E182" s="52"/>
      <c r="F182" s="50"/>
      <c r="G182" s="50"/>
      <c r="H182" s="50"/>
    </row>
    <row r="183" spans="1:8" ht="17.100000000000001" customHeight="1" x14ac:dyDescent="0.3">
      <c r="A183" s="30"/>
      <c r="B183" s="31"/>
      <c r="C183" s="57" t="s">
        <v>88</v>
      </c>
      <c r="D183" s="58">
        <f>IF(AND(D177=0,D179=0,D181=0),0,(D177*D178+D179*D180+D181*D182)/(D177+D179+D181))</f>
        <v>0</v>
      </c>
      <c r="E183" s="52"/>
      <c r="F183" s="50"/>
      <c r="G183" s="50"/>
      <c r="H183" s="50"/>
    </row>
    <row r="184" spans="1:8" hidden="1" x14ac:dyDescent="0.3">
      <c r="A184" s="30"/>
      <c r="B184" s="31"/>
      <c r="C184" s="36" t="s">
        <v>37</v>
      </c>
      <c r="D184" s="51">
        <f>IF(D183&gt;=3.5,4,IF(D183&gt;=2,4*D183-10,0))</f>
        <v>0</v>
      </c>
      <c r="E184" s="52">
        <v>17.05</v>
      </c>
      <c r="F184" s="52">
        <f t="shared" ref="F184:F191" si="6">D184*E184</f>
        <v>0</v>
      </c>
      <c r="G184" s="50"/>
      <c r="H184" s="50"/>
    </row>
    <row r="185" spans="1:8" hidden="1" x14ac:dyDescent="0.3">
      <c r="A185" s="30"/>
      <c r="B185" s="31"/>
      <c r="C185" s="36" t="s">
        <v>38</v>
      </c>
      <c r="D185" s="51">
        <f>IF(D183&gt;=3.5,4,IF(D183&gt;=2,4*D183-10,0))</f>
        <v>0</v>
      </c>
      <c r="E185" s="52">
        <v>17.36</v>
      </c>
      <c r="F185" s="52">
        <f t="shared" si="6"/>
        <v>0</v>
      </c>
      <c r="G185" s="50"/>
      <c r="H185" s="50"/>
    </row>
    <row r="186" spans="1:8" hidden="1" x14ac:dyDescent="0.3">
      <c r="A186" s="30"/>
      <c r="B186" s="31"/>
      <c r="C186" s="36" t="s">
        <v>39</v>
      </c>
      <c r="D186" s="51">
        <f>IF(D183&gt;=3.5,4,IF(D183&gt;=2,4*D183-10,0))</f>
        <v>0</v>
      </c>
      <c r="E186" s="52">
        <v>17.05</v>
      </c>
      <c r="F186" s="52">
        <f t="shared" si="6"/>
        <v>0</v>
      </c>
      <c r="G186" s="50"/>
      <c r="H186" s="50"/>
    </row>
    <row r="187" spans="1:8" hidden="1" x14ac:dyDescent="0.3">
      <c r="A187" s="30"/>
      <c r="B187" s="31"/>
      <c r="C187" s="36" t="s">
        <v>40</v>
      </c>
      <c r="D187" s="51">
        <f>IF(D183&gt;=3.5,4,IF(D183&gt;=2,4*D183-10,0))</f>
        <v>0</v>
      </c>
      <c r="E187" s="52">
        <v>17.36</v>
      </c>
      <c r="F187" s="52">
        <f t="shared" si="6"/>
        <v>0</v>
      </c>
      <c r="G187" s="50"/>
      <c r="H187" s="50"/>
    </row>
    <row r="188" spans="1:8" hidden="1" x14ac:dyDescent="0.3">
      <c r="A188" s="30"/>
      <c r="B188" s="31"/>
      <c r="C188" s="36" t="s">
        <v>5</v>
      </c>
      <c r="D188" s="51">
        <f>IF(D183&gt;=3.25,4,IF(D183&gt;=2,(8*D183-6)/5,0))</f>
        <v>0</v>
      </c>
      <c r="E188" s="52">
        <v>15.44</v>
      </c>
      <c r="F188" s="52">
        <f t="shared" si="6"/>
        <v>0</v>
      </c>
      <c r="G188" s="50"/>
      <c r="H188" s="50"/>
    </row>
    <row r="189" spans="1:8" hidden="1" x14ac:dyDescent="0.3">
      <c r="A189" s="30"/>
      <c r="B189" s="31"/>
      <c r="C189" s="36" t="s">
        <v>41</v>
      </c>
      <c r="D189" s="51">
        <f>IF(D183&gt;=3.25,4,IF(D183&gt;=2,(8*D183-6)/5,0))</f>
        <v>0</v>
      </c>
      <c r="E189" s="52">
        <v>15.63</v>
      </c>
      <c r="F189" s="52">
        <f t="shared" si="6"/>
        <v>0</v>
      </c>
      <c r="G189" s="50"/>
      <c r="H189" s="50"/>
    </row>
    <row r="190" spans="1:8" hidden="1" x14ac:dyDescent="0.3">
      <c r="A190" s="30"/>
      <c r="B190" s="31"/>
      <c r="C190" s="36" t="s">
        <v>42</v>
      </c>
      <c r="D190" s="51">
        <f>IF(D183&gt;=3.25,4,IF(D183&gt;=2,(8*D183-6)/5,0))</f>
        <v>0</v>
      </c>
      <c r="E190" s="52">
        <v>17.86</v>
      </c>
      <c r="F190" s="52">
        <f t="shared" si="6"/>
        <v>0</v>
      </c>
      <c r="G190" s="50"/>
      <c r="H190" s="50"/>
    </row>
    <row r="191" spans="1:8" hidden="1" x14ac:dyDescent="0.3">
      <c r="A191" s="30"/>
      <c r="B191" s="31"/>
      <c r="C191" s="36" t="s">
        <v>43</v>
      </c>
      <c r="D191" s="51">
        <f>IF(D183&gt;=3.25,4,IF(D183&gt;=2,(8*D183-6)/5,0))</f>
        <v>0</v>
      </c>
      <c r="E191" s="52">
        <v>17.86</v>
      </c>
      <c r="F191" s="52">
        <f t="shared" si="6"/>
        <v>0</v>
      </c>
      <c r="G191" s="50"/>
      <c r="H191" s="50"/>
    </row>
    <row r="192" spans="1:8" hidden="1" x14ac:dyDescent="0.3">
      <c r="A192" s="37"/>
      <c r="B192" s="38"/>
      <c r="C192" s="36" t="s">
        <v>44</v>
      </c>
      <c r="D192" s="51">
        <f>IF(D183&gt;=3.25,4,IF(D183&gt;=2,(8*D183-6)/5,0))</f>
        <v>0</v>
      </c>
      <c r="E192" s="52">
        <v>17.86</v>
      </c>
      <c r="F192" s="52">
        <f>D191*E191</f>
        <v>0</v>
      </c>
      <c r="G192" s="50"/>
      <c r="H192" s="50"/>
    </row>
    <row r="193" spans="1:8" ht="29.1" customHeight="1" x14ac:dyDescent="0.3">
      <c r="A193" s="26">
        <v>8</v>
      </c>
      <c r="B193" s="27" t="s">
        <v>89</v>
      </c>
      <c r="C193" s="28" t="s">
        <v>90</v>
      </c>
      <c r="D193" s="29">
        <f>IF($C$6="Doktor",D209,IF($C$6="Doktor Terapan",D210,IF($C$6="Magister",D211,IF($C$6="Magister Terapan",D212,IF($C$6="Sarjana",D213,IF(OR($C$6="Sarjana Terapan",$C$6="Diploma Empat"),D214,IF($C$6="Diploma Tiga",D215,IF($C$6="Diploma Dua",D216,IF($C$6="Diploma Satu",D217,0)))))))))</f>
        <v>4</v>
      </c>
      <c r="E193" s="54"/>
      <c r="F193" s="49"/>
      <c r="G193" s="49"/>
      <c r="H193" s="49"/>
    </row>
    <row r="194" spans="1:8" ht="17.100000000000001" hidden="1" customHeight="1" x14ac:dyDescent="0.3">
      <c r="A194" s="30"/>
      <c r="B194" s="31"/>
      <c r="C194" s="59" t="s">
        <v>91</v>
      </c>
      <c r="D194" s="33">
        <f>'Tabel 3b'!J6</f>
        <v>60</v>
      </c>
      <c r="E194" s="52"/>
      <c r="F194" s="50"/>
      <c r="G194" s="50"/>
      <c r="H194" s="50"/>
    </row>
    <row r="195" spans="1:8" ht="17.100000000000001" hidden="1" customHeight="1" x14ac:dyDescent="0.3">
      <c r="A195" s="30"/>
      <c r="B195" s="31"/>
      <c r="C195" s="56" t="s">
        <v>92</v>
      </c>
      <c r="D195" s="51">
        <f>'Tabel 3b'!K6</f>
        <v>4.25</v>
      </c>
      <c r="E195" s="52"/>
      <c r="F195" s="50"/>
      <c r="G195" s="50"/>
      <c r="H195" s="50"/>
    </row>
    <row r="196" spans="1:8" ht="17.100000000000001" hidden="1" customHeight="1" x14ac:dyDescent="0.3">
      <c r="A196" s="30"/>
      <c r="B196" s="31"/>
      <c r="C196" s="56" t="s">
        <v>93</v>
      </c>
      <c r="D196" s="33">
        <f>'Tabel 3b'!J7</f>
        <v>56</v>
      </c>
      <c r="E196" s="52"/>
      <c r="F196" s="50"/>
      <c r="G196" s="50"/>
      <c r="H196" s="50"/>
    </row>
    <row r="197" spans="1:8" ht="17.100000000000001" hidden="1" customHeight="1" x14ac:dyDescent="0.3">
      <c r="A197" s="30"/>
      <c r="B197" s="31"/>
      <c r="C197" s="56" t="s">
        <v>94</v>
      </c>
      <c r="D197" s="51">
        <f>'Tabel 3b'!K7</f>
        <v>4.8571428571428603</v>
      </c>
      <c r="E197" s="52"/>
      <c r="F197" s="50"/>
      <c r="G197" s="50"/>
      <c r="H197" s="50"/>
    </row>
    <row r="198" spans="1:8" ht="17.100000000000001" hidden="1" customHeight="1" x14ac:dyDescent="0.3">
      <c r="A198" s="30"/>
      <c r="B198" s="31"/>
      <c r="C198" s="56" t="s">
        <v>95</v>
      </c>
      <c r="D198" s="33">
        <f>'Tabel 3b'!J8</f>
        <v>60</v>
      </c>
      <c r="E198" s="52"/>
      <c r="F198" s="50"/>
      <c r="G198" s="50"/>
      <c r="H198" s="50"/>
    </row>
    <row r="199" spans="1:8" ht="17.100000000000001" hidden="1" customHeight="1" x14ac:dyDescent="0.3">
      <c r="A199" s="30"/>
      <c r="B199" s="31"/>
      <c r="C199" s="56" t="s">
        <v>96</v>
      </c>
      <c r="D199" s="51">
        <f>'Tabel 3b'!K8</f>
        <v>4.2750000000000004</v>
      </c>
      <c r="E199" s="52"/>
      <c r="F199" s="50"/>
      <c r="G199" s="50"/>
      <c r="H199" s="50"/>
    </row>
    <row r="200" spans="1:8" ht="17.100000000000001" hidden="1" customHeight="1" x14ac:dyDescent="0.3">
      <c r="A200" s="30"/>
      <c r="B200" s="31"/>
      <c r="C200" s="56" t="s">
        <v>97</v>
      </c>
      <c r="D200" s="33">
        <f>'Tabel 3b'!J9</f>
        <v>51</v>
      </c>
      <c r="E200" s="52"/>
      <c r="F200" s="50"/>
      <c r="G200" s="50"/>
      <c r="H200" s="50"/>
    </row>
    <row r="201" spans="1:8" ht="17.100000000000001" hidden="1" customHeight="1" x14ac:dyDescent="0.3">
      <c r="A201" s="30"/>
      <c r="B201" s="31"/>
      <c r="C201" s="56" t="s">
        <v>98</v>
      </c>
      <c r="D201" s="51">
        <f>'Tabel 3b'!K9</f>
        <v>4.5098039215686301</v>
      </c>
      <c r="E201" s="52"/>
      <c r="F201" s="50"/>
      <c r="G201" s="50"/>
      <c r="H201" s="50"/>
    </row>
    <row r="202" spans="1:8" ht="17.100000000000001" hidden="1" customHeight="1" x14ac:dyDescent="0.3">
      <c r="A202" s="30"/>
      <c r="B202" s="31"/>
      <c r="C202" s="56" t="s">
        <v>99</v>
      </c>
      <c r="D202" s="33">
        <f>'Tabel 3b'!J10</f>
        <v>1</v>
      </c>
      <c r="E202" s="52"/>
      <c r="F202" s="50"/>
      <c r="G202" s="50"/>
      <c r="H202" s="50"/>
    </row>
    <row r="203" spans="1:8" ht="17.100000000000001" hidden="1" customHeight="1" x14ac:dyDescent="0.3">
      <c r="A203" s="30"/>
      <c r="B203" s="31"/>
      <c r="C203" s="56" t="s">
        <v>100</v>
      </c>
      <c r="D203" s="51">
        <f>'Tabel 3b'!K10</f>
        <v>4</v>
      </c>
      <c r="E203" s="52"/>
      <c r="F203" s="50"/>
      <c r="G203" s="50"/>
      <c r="H203" s="50"/>
    </row>
    <row r="204" spans="1:8" ht="17.100000000000001" hidden="1" customHeight="1" x14ac:dyDescent="0.3">
      <c r="A204" s="30"/>
      <c r="B204" s="31"/>
      <c r="C204" s="56" t="s">
        <v>101</v>
      </c>
      <c r="D204" s="33">
        <f>'Tabel 3b'!J11</f>
        <v>0</v>
      </c>
      <c r="E204" s="52"/>
      <c r="F204" s="50"/>
      <c r="G204" s="50"/>
      <c r="H204" s="50"/>
    </row>
    <row r="205" spans="1:8" ht="17.100000000000001" hidden="1" customHeight="1" x14ac:dyDescent="0.3">
      <c r="A205" s="30"/>
      <c r="B205" s="31"/>
      <c r="C205" s="56" t="s">
        <v>102</v>
      </c>
      <c r="D205" s="51">
        <f>'Tabel 3b'!K11</f>
        <v>0</v>
      </c>
      <c r="E205" s="52"/>
      <c r="F205" s="50"/>
      <c r="G205" s="50"/>
      <c r="H205" s="50"/>
    </row>
    <row r="206" spans="1:8" ht="17.100000000000001" hidden="1" customHeight="1" x14ac:dyDescent="0.3">
      <c r="A206" s="30"/>
      <c r="B206" s="31"/>
      <c r="C206" s="56" t="s">
        <v>103</v>
      </c>
      <c r="D206" s="33">
        <f>'Tabel 3b'!J12</f>
        <v>0</v>
      </c>
      <c r="E206" s="52"/>
      <c r="F206" s="50"/>
      <c r="G206" s="50"/>
      <c r="H206" s="50"/>
    </row>
    <row r="207" spans="1:8" ht="17.100000000000001" hidden="1" customHeight="1" x14ac:dyDescent="0.3">
      <c r="A207" s="30"/>
      <c r="B207" s="31"/>
      <c r="C207" s="56" t="s">
        <v>104</v>
      </c>
      <c r="D207" s="51">
        <f>'Tabel 3b'!K12</f>
        <v>0</v>
      </c>
      <c r="E207" s="52"/>
      <c r="F207" s="50"/>
      <c r="G207" s="50"/>
      <c r="H207" s="50"/>
    </row>
    <row r="208" spans="1:8" x14ac:dyDescent="0.3">
      <c r="A208" s="30"/>
      <c r="B208" s="31"/>
      <c r="C208" s="60" t="s">
        <v>105</v>
      </c>
      <c r="D208" s="58">
        <f>IF(AND(D194=0,D196=0,D198=0,D200=0,D202=0,D204=0,D206=0),0,(D194*D195+D196*D197+D198*D199+D200*D201+D202*D203+D204*D205+D206*D207)/(D194+D196+D198+D200+D202+D204+D206))</f>
        <v>4.4627192982456156</v>
      </c>
      <c r="E208" s="52"/>
      <c r="F208" s="50"/>
      <c r="G208" s="50"/>
      <c r="H208" s="50"/>
    </row>
    <row r="209" spans="1:8" hidden="1" x14ac:dyDescent="0.3">
      <c r="A209" s="30"/>
      <c r="B209" s="31"/>
      <c r="C209" s="36" t="s">
        <v>37</v>
      </c>
      <c r="D209" s="51">
        <f>IF(D208&gt;7,0,IF(D208&gt;3.5,(56-8*D208)/7,IF(D208&gt;2.5,4,IF(D208&gt;2,8*D208-16,0))))</f>
        <v>2.8997493734335822</v>
      </c>
      <c r="E209" s="52">
        <v>17.05</v>
      </c>
      <c r="F209" s="52">
        <f t="shared" ref="F209:F216" si="7">D209*E209</f>
        <v>49.440726817042581</v>
      </c>
      <c r="G209" s="50"/>
      <c r="H209" s="50"/>
    </row>
    <row r="210" spans="1:8" hidden="1" x14ac:dyDescent="0.3">
      <c r="A210" s="30"/>
      <c r="B210" s="31"/>
      <c r="C210" s="36" t="s">
        <v>38</v>
      </c>
      <c r="D210" s="51">
        <f>IF(D208&gt;7,0,IF(D208&gt;3.5,(56-8*D208)/7,IF(D208&gt;2.5,4,IF(D208&gt;2,8*D208-16,0))))</f>
        <v>2.8997493734335822</v>
      </c>
      <c r="E210" s="52">
        <v>17.36</v>
      </c>
      <c r="F210" s="52">
        <f t="shared" si="7"/>
        <v>50.339649122806982</v>
      </c>
      <c r="G210" s="50"/>
      <c r="H210" s="50"/>
    </row>
    <row r="211" spans="1:8" hidden="1" x14ac:dyDescent="0.3">
      <c r="A211" s="30"/>
      <c r="B211" s="31"/>
      <c r="C211" s="36" t="s">
        <v>39</v>
      </c>
      <c r="D211" s="51">
        <f>IF(D208&gt;4,0,IF(D208&gt;2.5,(32-8*D208)/3,IF(D208&gt;1.5,4,IF(D208&gt;1,8*D208-8,0))))</f>
        <v>0</v>
      </c>
      <c r="E211" s="52">
        <v>17.05</v>
      </c>
      <c r="F211" s="52">
        <f t="shared" si="7"/>
        <v>0</v>
      </c>
      <c r="G211" s="50"/>
      <c r="H211" s="50"/>
    </row>
    <row r="212" spans="1:8" hidden="1" x14ac:dyDescent="0.3">
      <c r="A212" s="30"/>
      <c r="B212" s="31"/>
      <c r="C212" s="36" t="s">
        <v>40</v>
      </c>
      <c r="D212" s="51">
        <f>IF(D208&gt;4,0,IF(D208&gt;2.5,(32-8*D208)/3,IF(D208&gt;1.5,4,IF(D208&gt;1,8*D208-8,0))))</f>
        <v>0</v>
      </c>
      <c r="E212" s="52">
        <v>17.36</v>
      </c>
      <c r="F212" s="52">
        <f t="shared" si="7"/>
        <v>0</v>
      </c>
      <c r="G212" s="50"/>
      <c r="H212" s="50"/>
    </row>
    <row r="213" spans="1:8" hidden="1" x14ac:dyDescent="0.3">
      <c r="A213" s="30"/>
      <c r="B213" s="31"/>
      <c r="C213" s="36" t="s">
        <v>5</v>
      </c>
      <c r="D213" s="51">
        <f>IF(D208&gt;7,0,IF(D208&gt;4.5,(56-8*D208)/5,IF(D208&gt;3.5,4,IF(D208&gt;3,8*D208-24,0))))</f>
        <v>4</v>
      </c>
      <c r="E213" s="52">
        <v>15.44</v>
      </c>
      <c r="F213" s="52">
        <f t="shared" si="7"/>
        <v>61.76</v>
      </c>
      <c r="G213" s="50"/>
      <c r="H213" s="50"/>
    </row>
    <row r="214" spans="1:8" hidden="1" x14ac:dyDescent="0.3">
      <c r="A214" s="30"/>
      <c r="B214" s="31"/>
      <c r="C214" s="36" t="s">
        <v>41</v>
      </c>
      <c r="D214" s="51">
        <f>IF(D208&gt;7,0,IF(D208&gt;4.5,(56-8*D208)/5,IF(D208&gt;3.5,4,IF(D208&gt;3,8*D208-24,0))))</f>
        <v>4</v>
      </c>
      <c r="E214" s="52">
        <v>15.63</v>
      </c>
      <c r="F214" s="52">
        <f t="shared" si="7"/>
        <v>62.52</v>
      </c>
      <c r="G214" s="50"/>
      <c r="H214" s="50"/>
    </row>
    <row r="215" spans="1:8" hidden="1" x14ac:dyDescent="0.3">
      <c r="A215" s="30"/>
      <c r="B215" s="31"/>
      <c r="C215" s="36" t="s">
        <v>42</v>
      </c>
      <c r="D215" s="51">
        <f>IF(D208&gt;5,0,IF(D208&gt;3.5,(40-8*D208)/3,IF(D208&gt;=3,4,0)))</f>
        <v>1.4327485380116916</v>
      </c>
      <c r="E215" s="52">
        <v>17.86</v>
      </c>
      <c r="F215" s="52">
        <f t="shared" si="7"/>
        <v>25.58888888888881</v>
      </c>
      <c r="G215" s="50"/>
      <c r="H215" s="50"/>
    </row>
    <row r="216" spans="1:8" hidden="1" x14ac:dyDescent="0.3">
      <c r="A216" s="30"/>
      <c r="B216" s="31"/>
      <c r="C216" s="36" t="s">
        <v>43</v>
      </c>
      <c r="D216" s="51">
        <f>IF(D208&gt;5,0,IF(D208&gt;3.5,(40-8*D208)/3,IF(D208&gt;=3,4,0)))</f>
        <v>1.4327485380116916</v>
      </c>
      <c r="E216" s="52">
        <v>17.86</v>
      </c>
      <c r="F216" s="52">
        <f t="shared" si="7"/>
        <v>25.58888888888881</v>
      </c>
      <c r="G216" s="50"/>
      <c r="H216" s="50"/>
    </row>
    <row r="217" spans="1:8" hidden="1" x14ac:dyDescent="0.3">
      <c r="A217" s="37"/>
      <c r="B217" s="38"/>
      <c r="C217" s="39" t="s">
        <v>44</v>
      </c>
      <c r="D217" s="51">
        <f>IF(D208&gt;5,0,IF(D208&gt;3.5,(40-8*D208)/3,IF(D208&gt;=3,4,0)))</f>
        <v>1.4327485380116916</v>
      </c>
      <c r="E217" s="52">
        <v>17.86</v>
      </c>
      <c r="F217" s="52">
        <f>D216*E216</f>
        <v>25.58888888888881</v>
      </c>
      <c r="G217" s="50"/>
      <c r="H217" s="50"/>
    </row>
    <row r="218" spans="1:8" ht="29.1" customHeight="1" x14ac:dyDescent="0.3">
      <c r="A218" s="26">
        <v>9</v>
      </c>
      <c r="B218" s="27" t="s">
        <v>89</v>
      </c>
      <c r="C218" s="28" t="s">
        <v>106</v>
      </c>
      <c r="D218" s="61">
        <f>IF($C$6="Doktor",D226,IF($C$6="Doktor Terapan",D227,IF($C$6="Magister",D228,IF($C$6="Magister Terapan",D229,IF($C$6="Sarjana",D230,IF(OR($C$6="Sarjana Terapan",$C$6="Diploma Empat"),D231,IF($C$6="Diploma Tiga",D232,IF($C$6="Diploma Dua",D233,IF($C$6="Diploma Satu",D234,0)))))))))</f>
        <v>1</v>
      </c>
      <c r="E218" s="49"/>
      <c r="F218" s="49"/>
      <c r="G218" s="49"/>
      <c r="H218" s="49"/>
    </row>
    <row r="219" spans="1:8" ht="17.100000000000001" hidden="1" customHeight="1" x14ac:dyDescent="0.3">
      <c r="A219" s="30"/>
      <c r="B219" s="31"/>
      <c r="C219" s="59" t="s">
        <v>107</v>
      </c>
      <c r="D219" s="62">
        <f>IF($C$6="Doktor",'Tabel 3b'!B8,IF($C$6="Doktor Terapan",'Tabel 3b'!B8,IF($C$6="Magister",'Tabel 3b'!B9,IF($C$6="Magister Terapan",'Tabel 3b'!B9,IF($C$6="Sarjana",'Tabel 3b'!B7,IF(OR($C$6="Sarjana Terapan",$C$6="Diploma Empat"),'Tabel 3b'!B7,IF($C$6="Diploma Tiga",'Tabel 3b'!B8,IF($C$6="Diploma Dua",'Tabel 3b'!B9,IF($C$6="Diploma Satu",'Tabel 3b'!B10,0)))))))))</f>
        <v>0</v>
      </c>
      <c r="E219" s="50"/>
      <c r="F219" s="50"/>
      <c r="G219" s="50"/>
      <c r="H219" s="50"/>
    </row>
    <row r="220" spans="1:8" ht="17.100000000000001" hidden="1" customHeight="1" x14ac:dyDescent="0.3">
      <c r="A220" s="30"/>
      <c r="B220" s="31"/>
      <c r="C220" s="56" t="s">
        <v>108</v>
      </c>
      <c r="D220" s="62">
        <f>IF($C$6="Doktor",'Tabel 3b'!G8,IF($C$6="Doktor Terapan",'Tabel 3b'!G8,IF($C$6="Magister",'Tabel 3b'!G9,IF($C$6="Magister Terapan",'Tabel 3b'!G9,IF($C$6="Sarjana",'Tabel 3b'!G7,IF(OR($C$6="Sarjana Terapan",$C$6="Diploma Empat"),'Tabel 3b'!G7,IF($C$6="Diploma Tiga",'Tabel 3b'!G8,IF($C$6="Diploma Dua",'Tabel 3b'!G9,IF($C$6="Diploma Satu",'Tabel 3b'!G10,0)))))))))</f>
        <v>9</v>
      </c>
      <c r="E220" s="50"/>
      <c r="F220" s="50"/>
      <c r="G220" s="50"/>
      <c r="H220" s="50"/>
    </row>
    <row r="221" spans="1:8" ht="17.100000000000001" hidden="1" customHeight="1" x14ac:dyDescent="0.3">
      <c r="A221" s="30"/>
      <c r="B221" s="31"/>
      <c r="C221" s="56" t="s">
        <v>109</v>
      </c>
      <c r="D221" s="62">
        <f>IF($C$6="Doktor",'Tabel 3b'!B9,IF($C$6="Doktor Terapan",'Tabel 3b'!B9,IF($C$6="Magister",'Tabel 3b'!B10,IF($C$6="Magister Terapan",'Tabel 3b'!B10,IF($C$6="Sarjana",'Tabel 3b'!B8,IF(OR($C$6="Sarjana Terapan",$C$6="Diploma Empat"),'Tabel 3b'!B8,IF($C$6="Diploma Tiga",'Tabel 3b'!B9,IF($C$6="Diploma Dua",'Tabel 3b'!B10,IF($C$6="Diploma Satu",'Tabel 3b'!B11,0)))))))))</f>
        <v>0</v>
      </c>
      <c r="E221" s="50"/>
      <c r="F221" s="50"/>
      <c r="G221" s="50"/>
      <c r="H221" s="50"/>
    </row>
    <row r="222" spans="1:8" ht="17.100000000000001" hidden="1" customHeight="1" x14ac:dyDescent="0.3">
      <c r="A222" s="30"/>
      <c r="B222" s="31"/>
      <c r="C222" s="56" t="s">
        <v>110</v>
      </c>
      <c r="D222" s="62">
        <f>IF($C$6="Doktor",'Tabel 3b'!H9,IF($C$6="Doktor Terapan",'Tabel 3b'!H9,IF($C$6="Magister",'Tabel 3b'!H10,IF($C$6="Magister Terapan",'Tabel 3b'!H10,IF($C$6="Sarjana",'Tabel 3b'!H8,IF(OR($C$6="Sarjana Terapan",$C$6="Diploma Empat"),'Tabel 3b'!H8,IF($C$6="Diploma Tiga",'Tabel 3b'!H9,IF($C$6="Diploma Dua",'Tabel 3b'!H10,IF($C$6="Diploma Satu",'Tabel 3b'!H11,0)))))))))</f>
        <v>35</v>
      </c>
      <c r="E222" s="50"/>
      <c r="F222" s="50"/>
      <c r="G222" s="50"/>
      <c r="H222" s="50"/>
    </row>
    <row r="223" spans="1:8" ht="17.100000000000001" hidden="1" customHeight="1" x14ac:dyDescent="0.3">
      <c r="A223" s="30"/>
      <c r="B223" s="31"/>
      <c r="C223" s="56" t="s">
        <v>111</v>
      </c>
      <c r="D223" s="62">
        <f>IF($C$6="Doktor",'Tabel 3b'!B10,IF($C$6="Doktor Terapan",'Tabel 3b'!B10,IF($C$6="Magister",'Tabel 3b'!B11,IF($C$6="Magister Terapan",'Tabel 3b'!B11,IF($C$6="Sarjana",'Tabel 3b'!B9,IF(OR($C$6="Sarjana Terapan",$C$6="Diploma Empat"),'Tabel 3b'!B9,IF($C$6="Diploma Tiga",'Tabel 3b'!B10,IF($C$6="Diploma Dua",'Tabel 3b'!B11,IF($C$6="Diploma Satu",'Tabel 3b'!B12,0)))))))))</f>
        <v>0</v>
      </c>
      <c r="E223" s="50"/>
      <c r="F223" s="50"/>
      <c r="G223" s="50"/>
      <c r="H223" s="50"/>
    </row>
    <row r="224" spans="1:8" ht="17.100000000000001" hidden="1" customHeight="1" x14ac:dyDescent="0.3">
      <c r="A224" s="30"/>
      <c r="B224" s="31"/>
      <c r="C224" s="56" t="s">
        <v>112</v>
      </c>
      <c r="D224" s="62">
        <f>IF($C$6="Doktor",'Tabel 3b'!I10,IF($C$6="Doktor Terapan",'Tabel 3b'!I10,IF($C$6="Magister",'Tabel 3b'!I11,IF($C$6="Magister Terapan",'Tabel 3b'!I11,IF($C$6="Sarjana",'Tabel 3b'!I9,IF(OR($C$6="Sarjana Terapan",$C$6="Diploma Empat"),'Tabel 3b'!I9,IF($C$6="Diploma Tiga",'Tabel 3b'!I10,IF($C$6="Diploma Dua",'Tabel 3b'!I11,IF($C$6="Diploma Satu",'Tabel 3b'!I12,0)))))))))</f>
        <v>12</v>
      </c>
      <c r="E224" s="50"/>
      <c r="F224" s="50"/>
      <c r="G224" s="50"/>
      <c r="H224" s="50"/>
    </row>
    <row r="225" spans="1:8" ht="17.100000000000001" customHeight="1" x14ac:dyDescent="0.3">
      <c r="A225" s="30"/>
      <c r="B225" s="31"/>
      <c r="C225" s="60" t="s">
        <v>113</v>
      </c>
      <c r="D225" s="63">
        <f>IF(AND(D219=0,D221=0,D223=0),0,(D220+D222+D224)/(D219+D221+D223))</f>
        <v>0</v>
      </c>
      <c r="E225" s="50"/>
      <c r="F225" s="50"/>
      <c r="G225" s="50"/>
      <c r="H225" s="50"/>
    </row>
    <row r="226" spans="1:8" hidden="1" x14ac:dyDescent="0.3">
      <c r="A226" s="30"/>
      <c r="B226" s="31"/>
      <c r="C226" s="36" t="s">
        <v>37</v>
      </c>
      <c r="D226" s="51">
        <f>IF(D225&gt;=50%,4,1+(6*D225))</f>
        <v>1</v>
      </c>
      <c r="E226" s="52">
        <v>17.05</v>
      </c>
      <c r="F226" s="52">
        <f t="shared" ref="F226:F233" si="8">D226*E226</f>
        <v>17.05</v>
      </c>
      <c r="G226" s="50"/>
      <c r="H226" s="50"/>
    </row>
    <row r="227" spans="1:8" hidden="1" x14ac:dyDescent="0.3">
      <c r="A227" s="30"/>
      <c r="B227" s="31"/>
      <c r="C227" s="36" t="s">
        <v>38</v>
      </c>
      <c r="D227" s="51">
        <f>IF(D225&gt;=50%,4,1+(6*D225))</f>
        <v>1</v>
      </c>
      <c r="E227" s="52">
        <v>17.36</v>
      </c>
      <c r="F227" s="52">
        <f t="shared" si="8"/>
        <v>17.36</v>
      </c>
      <c r="G227" s="50"/>
      <c r="H227" s="50"/>
    </row>
    <row r="228" spans="1:8" hidden="1" x14ac:dyDescent="0.3">
      <c r="A228" s="30"/>
      <c r="B228" s="31"/>
      <c r="C228" s="36" t="s">
        <v>39</v>
      </c>
      <c r="D228" s="51">
        <f>IF(D225&gt;=50%,4,1+(6*D225))</f>
        <v>1</v>
      </c>
      <c r="E228" s="52">
        <v>17.05</v>
      </c>
      <c r="F228" s="52">
        <f t="shared" si="8"/>
        <v>17.05</v>
      </c>
      <c r="G228" s="50"/>
      <c r="H228" s="50"/>
    </row>
    <row r="229" spans="1:8" hidden="1" x14ac:dyDescent="0.3">
      <c r="A229" s="30"/>
      <c r="B229" s="31"/>
      <c r="C229" s="36" t="s">
        <v>40</v>
      </c>
      <c r="D229" s="51">
        <f>IF(D225&gt;=50%,4,1+(6*D225))</f>
        <v>1</v>
      </c>
      <c r="E229" s="52">
        <v>17.36</v>
      </c>
      <c r="F229" s="52">
        <f t="shared" si="8"/>
        <v>17.36</v>
      </c>
      <c r="G229" s="50"/>
      <c r="H229" s="50"/>
    </row>
    <row r="230" spans="1:8" hidden="1" x14ac:dyDescent="0.3">
      <c r="A230" s="30"/>
      <c r="B230" s="31"/>
      <c r="C230" s="36" t="s">
        <v>5</v>
      </c>
      <c r="D230" s="51">
        <f>IF(D225&gt;=70%,4,1+(30*D225/7))</f>
        <v>1</v>
      </c>
      <c r="E230" s="52">
        <v>15.44</v>
      </c>
      <c r="F230" s="52">
        <f t="shared" si="8"/>
        <v>15.44</v>
      </c>
      <c r="G230" s="50"/>
      <c r="H230" s="50"/>
    </row>
    <row r="231" spans="1:8" hidden="1" x14ac:dyDescent="0.3">
      <c r="A231" s="30"/>
      <c r="B231" s="31"/>
      <c r="C231" s="36" t="s">
        <v>41</v>
      </c>
      <c r="D231" s="51">
        <f>IF(D225&gt;=70%,4,1+(30*D225/7))</f>
        <v>1</v>
      </c>
      <c r="E231" s="52">
        <v>15.63</v>
      </c>
      <c r="F231" s="52">
        <f t="shared" si="8"/>
        <v>15.63</v>
      </c>
      <c r="G231" s="50"/>
      <c r="H231" s="50"/>
    </row>
    <row r="232" spans="1:8" hidden="1" x14ac:dyDescent="0.3">
      <c r="A232" s="30"/>
      <c r="B232" s="31"/>
      <c r="C232" s="36" t="s">
        <v>42</v>
      </c>
      <c r="D232" s="51">
        <f>IF(D225&gt;=70%,4,1+(30*D225/7))</f>
        <v>1</v>
      </c>
      <c r="E232" s="52">
        <v>17.86</v>
      </c>
      <c r="F232" s="52">
        <f t="shared" si="8"/>
        <v>17.86</v>
      </c>
      <c r="G232" s="50"/>
      <c r="H232" s="50"/>
    </row>
    <row r="233" spans="1:8" hidden="1" x14ac:dyDescent="0.3">
      <c r="A233" s="30"/>
      <c r="B233" s="31"/>
      <c r="C233" s="36" t="s">
        <v>43</v>
      </c>
      <c r="D233" s="51">
        <f>IF(D225&gt;=70%,4,1+(30*D225/7))</f>
        <v>1</v>
      </c>
      <c r="E233" s="52">
        <v>17.86</v>
      </c>
      <c r="F233" s="52">
        <f t="shared" si="8"/>
        <v>17.86</v>
      </c>
      <c r="G233" s="50"/>
      <c r="H233" s="50"/>
    </row>
    <row r="234" spans="1:8" hidden="1" x14ac:dyDescent="0.3">
      <c r="A234" s="37"/>
      <c r="B234" s="38"/>
      <c r="C234" s="39" t="s">
        <v>44</v>
      </c>
      <c r="D234" s="51">
        <f>IF(D225&gt;=70%,4,1+(30*D225/7))</f>
        <v>1</v>
      </c>
      <c r="E234" s="52">
        <v>17.86</v>
      </c>
      <c r="F234" s="52">
        <f>D233*E233</f>
        <v>17.86</v>
      </c>
      <c r="G234" s="50"/>
      <c r="H234" s="50"/>
    </row>
    <row r="235" spans="1:8" ht="29.1" customHeight="1" x14ac:dyDescent="0.3">
      <c r="A235" s="26">
        <v>10</v>
      </c>
      <c r="B235" s="27" t="s">
        <v>89</v>
      </c>
      <c r="C235" s="28" t="s">
        <v>114</v>
      </c>
      <c r="D235" s="29">
        <f>IF($C$6="Doktor",D239,IF($C$6="Doktor Terapan",D240,IF($C$6="Magister",D241,IF($C$6="Magister Terapan",D242,IF($C$6="Sarjana",D243,IF(OR($C$6="Sarjana Terapan",$C$6="Diploma Empat"),D244,IF($C$6="Diploma Tiga",D245,IF($C$6="Diploma Dua",D246,IF($C$6="Diploma Satu",D247,0)))))))))</f>
        <v>0</v>
      </c>
      <c r="E235" s="54"/>
      <c r="F235" s="49"/>
      <c r="G235" s="49"/>
      <c r="H235" s="49"/>
    </row>
    <row r="236" spans="1:8" ht="17.100000000000001" hidden="1" customHeight="1" x14ac:dyDescent="0.3">
      <c r="A236" s="30"/>
      <c r="B236" s="31"/>
      <c r="C236" s="59" t="s">
        <v>111</v>
      </c>
      <c r="D236" s="33">
        <f>IF($C$6="Doktor",'Tabel 3b'!B6,IF($C$6="Doktor Terapan",'Tabel 3b'!B6,IF($C$6="Magister",'Tabel 3b'!B9,IF($C$6="Magister Terapan",'Tabel 3b'!B9,IF($C$6="Sarjana",'Tabel 3b'!B6,IF(OR($C$6="Sarjana Terapan",$C$6="Diploma Empat"),'Tabel 3b'!B6,IF($C$6="Diploma Tiga",'Tabel 3b'!B8,IF($C$6="Diploma Dua",'Tabel 3b'!B10,IF($C$6="Diploma Satu",'Tabel 3b'!B11,0)))))))))</f>
        <v>0</v>
      </c>
      <c r="E236" s="52"/>
      <c r="F236" s="50"/>
      <c r="G236" s="50"/>
      <c r="H236" s="50"/>
    </row>
    <row r="237" spans="1:8" ht="17.100000000000001" hidden="1" customHeight="1" x14ac:dyDescent="0.3">
      <c r="A237" s="30"/>
      <c r="B237" s="31"/>
      <c r="C237" s="56" t="s">
        <v>115</v>
      </c>
      <c r="D237" s="33">
        <f>IF($C$6="Doktor",SUM('Tabel 3b'!E6:I6),IF($C$6="Doktor Terapan",SUM('Tabel 3b'!E6:I6),IF($C$6="Magister",SUM('Tabel 3b'!G9:I9),IF($C$6="Magister Terapan",SUM('Tabel 3b'!G9:I9),IF($C$6="Sarjana",SUM('Tabel 3b'!F6:I6),IF(OR($C$6="Sarjana Terapan",$C$6="Diploma Empat"),SUM('Tabel 3b'!F6:I6),IF($C$6="Diploma Tiga",SUM('Tabel 3b'!G8:I8),IF($C$6="Diploma Dua",SUM('Tabel 3b'!H10:I10),IF($C$6="Diploma Satu",SUM('Tabel 3b'!H11:I11),0)))))))))</f>
        <v>60</v>
      </c>
      <c r="E237" s="52"/>
      <c r="F237" s="50"/>
      <c r="G237" s="50"/>
      <c r="H237" s="50"/>
    </row>
    <row r="238" spans="1:8" ht="17.100000000000001" customHeight="1" x14ac:dyDescent="0.3">
      <c r="A238" s="30"/>
      <c r="B238" s="31"/>
      <c r="C238" s="60" t="s">
        <v>116</v>
      </c>
      <c r="D238" s="63">
        <f>IF(D236&gt;0,D237/D236,0)</f>
        <v>0</v>
      </c>
      <c r="E238" s="52"/>
      <c r="F238" s="50"/>
      <c r="G238" s="50"/>
      <c r="H238" s="50"/>
    </row>
    <row r="239" spans="1:8" hidden="1" x14ac:dyDescent="0.3">
      <c r="A239" s="30"/>
      <c r="B239" s="31"/>
      <c r="C239" s="36" t="s">
        <v>37</v>
      </c>
      <c r="D239" s="51">
        <f>IF(D238&gt;=85%,4,IF(D238&gt;=30%,(80*D238-24)/11,0))</f>
        <v>0</v>
      </c>
      <c r="E239" s="52">
        <v>17.05</v>
      </c>
      <c r="F239" s="52">
        <f t="shared" ref="F239:F246" si="9">D239*E239</f>
        <v>0</v>
      </c>
      <c r="G239" s="50"/>
      <c r="H239" s="50"/>
    </row>
    <row r="240" spans="1:8" hidden="1" x14ac:dyDescent="0.3">
      <c r="A240" s="30"/>
      <c r="B240" s="31"/>
      <c r="C240" s="36" t="s">
        <v>38</v>
      </c>
      <c r="D240" s="51">
        <f>IF(D238&gt;=85%,4,IF(D238&gt;=30%,(80*D238-24)/11,0))</f>
        <v>0</v>
      </c>
      <c r="E240" s="52">
        <v>17.36</v>
      </c>
      <c r="F240" s="52">
        <f t="shared" si="9"/>
        <v>0</v>
      </c>
      <c r="G240" s="50"/>
      <c r="H240" s="50"/>
    </row>
    <row r="241" spans="1:8" hidden="1" x14ac:dyDescent="0.3">
      <c r="A241" s="30"/>
      <c r="B241" s="31"/>
      <c r="C241" s="36" t="s">
        <v>39</v>
      </c>
      <c r="D241" s="51">
        <f>IF(D238&gt;=85%,4,IF(D238&gt;=30%,(80*D238-24)/11,0))</f>
        <v>0</v>
      </c>
      <c r="E241" s="52">
        <v>17.05</v>
      </c>
      <c r="F241" s="52">
        <f t="shared" si="9"/>
        <v>0</v>
      </c>
      <c r="G241" s="50"/>
      <c r="H241" s="50"/>
    </row>
    <row r="242" spans="1:8" hidden="1" x14ac:dyDescent="0.3">
      <c r="A242" s="30"/>
      <c r="B242" s="31"/>
      <c r="C242" s="36" t="s">
        <v>40</v>
      </c>
      <c r="D242" s="51">
        <f>IF(D238&gt;=85%,4,IF(D238&gt;=30%,(80*D238-24)/11,0))</f>
        <v>0</v>
      </c>
      <c r="E242" s="52">
        <v>17.36</v>
      </c>
      <c r="F242" s="52">
        <f t="shared" si="9"/>
        <v>0</v>
      </c>
      <c r="G242" s="50"/>
      <c r="H242" s="50"/>
    </row>
    <row r="243" spans="1:8" hidden="1" x14ac:dyDescent="0.3">
      <c r="A243" s="30"/>
      <c r="B243" s="31"/>
      <c r="C243" s="36" t="s">
        <v>5</v>
      </c>
      <c r="D243" s="51">
        <f>IF(D238&gt;=85%,4,IF(D238&gt;=30%,(80*D238-24)/11,0))</f>
        <v>0</v>
      </c>
      <c r="E243" s="52">
        <v>15.44</v>
      </c>
      <c r="F243" s="52">
        <f t="shared" si="9"/>
        <v>0</v>
      </c>
      <c r="G243" s="50"/>
      <c r="H243" s="50"/>
    </row>
    <row r="244" spans="1:8" hidden="1" x14ac:dyDescent="0.3">
      <c r="A244" s="30"/>
      <c r="B244" s="31"/>
      <c r="C244" s="36" t="s">
        <v>41</v>
      </c>
      <c r="D244" s="51">
        <f>IF(D238&gt;=85%,4,IF(D238&gt;=30%,(80*D238-24)/11,0))</f>
        <v>0</v>
      </c>
      <c r="E244" s="52">
        <v>15.63</v>
      </c>
      <c r="F244" s="52">
        <f t="shared" si="9"/>
        <v>0</v>
      </c>
      <c r="G244" s="50"/>
      <c r="H244" s="50"/>
    </row>
    <row r="245" spans="1:8" hidden="1" x14ac:dyDescent="0.3">
      <c r="A245" s="30"/>
      <c r="B245" s="31"/>
      <c r="C245" s="36" t="s">
        <v>42</v>
      </c>
      <c r="D245" s="51">
        <f>IF(D238&gt;=85%,4,IF(D238&gt;=30%,(80*D238-24)/11,0))</f>
        <v>0</v>
      </c>
      <c r="E245" s="52">
        <v>17.86</v>
      </c>
      <c r="F245" s="52">
        <f t="shared" si="9"/>
        <v>0</v>
      </c>
      <c r="G245" s="50"/>
      <c r="H245" s="50"/>
    </row>
    <row r="246" spans="1:8" hidden="1" x14ac:dyDescent="0.3">
      <c r="A246" s="30"/>
      <c r="B246" s="31"/>
      <c r="C246" s="36" t="s">
        <v>43</v>
      </c>
      <c r="D246" s="51">
        <f>IF(D238&gt;=85%,4,IF(D238&gt;=30%,(80*D238-24)/11,0))</f>
        <v>0</v>
      </c>
      <c r="E246" s="52">
        <v>17.86</v>
      </c>
      <c r="F246" s="52">
        <f t="shared" si="9"/>
        <v>0</v>
      </c>
      <c r="G246" s="50"/>
      <c r="H246" s="50"/>
    </row>
    <row r="247" spans="1:8" hidden="1" x14ac:dyDescent="0.3">
      <c r="A247" s="37"/>
      <c r="B247" s="38"/>
      <c r="C247" s="39" t="s">
        <v>44</v>
      </c>
      <c r="D247" s="51">
        <f>IF(D238&gt;=85%,4,IF(D238&gt;=30%,(80*D238-24)/11,0))</f>
        <v>0</v>
      </c>
      <c r="E247" s="52">
        <v>17.86</v>
      </c>
      <c r="F247" s="64">
        <f>D246*E246</f>
        <v>0</v>
      </c>
      <c r="G247" s="65"/>
      <c r="H247" s="65"/>
    </row>
    <row r="248" spans="1:8" x14ac:dyDescent="0.3">
      <c r="A248" s="66"/>
      <c r="B248" s="67"/>
      <c r="C248" s="68"/>
      <c r="D248" s="68"/>
      <c r="E248" s="69" t="s">
        <v>37</v>
      </c>
      <c r="F248" s="54">
        <f t="shared" ref="F248:F256" si="10">F100+F111+F124+F141+F154+F167+F184+F209+F226+F239</f>
        <v>106.75072681704258</v>
      </c>
      <c r="G248" s="49" t="str">
        <f t="shared" ref="G248:H251" si="11">G141</f>
        <v>Tidak terpenuhi</v>
      </c>
      <c r="H248" s="49" t="str">
        <f t="shared" si="11"/>
        <v>Tidak terpenuhi</v>
      </c>
    </row>
    <row r="249" spans="1:8" x14ac:dyDescent="0.3">
      <c r="A249" s="70" t="s">
        <v>117</v>
      </c>
      <c r="B249" s="71" t="s">
        <v>118</v>
      </c>
      <c r="E249" s="72" t="s">
        <v>38</v>
      </c>
      <c r="F249" s="52">
        <f t="shared" si="10"/>
        <v>105.01964912280698</v>
      </c>
      <c r="G249" s="50" t="str">
        <f t="shared" si="11"/>
        <v>Tidak terpenuhi</v>
      </c>
      <c r="H249" s="50" t="str">
        <f t="shared" si="11"/>
        <v>Tidak terpenuhi</v>
      </c>
    </row>
    <row r="250" spans="1:8" x14ac:dyDescent="0.3">
      <c r="A250" s="73"/>
      <c r="E250" s="72" t="s">
        <v>39</v>
      </c>
      <c r="F250" s="52">
        <f t="shared" si="10"/>
        <v>72.89</v>
      </c>
      <c r="G250" s="50" t="str">
        <f t="shared" si="11"/>
        <v>Tidak terpenuhi</v>
      </c>
      <c r="H250" s="50" t="str">
        <f t="shared" si="11"/>
        <v>Tidak terpenuhi</v>
      </c>
    </row>
    <row r="251" spans="1:8" x14ac:dyDescent="0.3">
      <c r="A251" s="73"/>
      <c r="E251" s="72" t="s">
        <v>40</v>
      </c>
      <c r="F251" s="52">
        <f t="shared" si="10"/>
        <v>70.56</v>
      </c>
      <c r="G251" s="50" t="str">
        <f t="shared" si="11"/>
        <v>Tidak terpenuhi</v>
      </c>
      <c r="H251" s="50" t="str">
        <f t="shared" si="11"/>
        <v>Tidak terpenuhi</v>
      </c>
    </row>
    <row r="252" spans="1:8" x14ac:dyDescent="0.3">
      <c r="A252" s="73"/>
      <c r="E252" s="72" t="s">
        <v>5</v>
      </c>
      <c r="F252" s="52">
        <f t="shared" si="10"/>
        <v>138.51999999999998</v>
      </c>
      <c r="G252" s="50" t="str">
        <f>IF(AND(G128="Terpenuhi",G145="Terpenuhi"),"Terpenuhi","Tidak terpenuhi")</f>
        <v>Tidak terpenuhi</v>
      </c>
      <c r="H252" s="50" t="str">
        <f>IF(AND(H128="Terpenuhi",H145="Terpenuhi"),"Terpenuhi","Tidak terpenuhi")</f>
        <v>Tidak terpenuhi</v>
      </c>
    </row>
    <row r="253" spans="1:8" x14ac:dyDescent="0.3">
      <c r="A253" s="73"/>
      <c r="E253" s="72" t="s">
        <v>41</v>
      </c>
      <c r="F253" s="52">
        <f t="shared" si="10"/>
        <v>137.83000000000001</v>
      </c>
      <c r="G253" s="50" t="str">
        <f>IF(AND(G129="Terpenuhi",G146="Terpenuhi"),"Terpenuhi","Tidak terpenuhi")</f>
        <v>Tidak terpenuhi</v>
      </c>
      <c r="H253" s="50" t="str">
        <f>IF(AND(H129="Terpenuhi",H146="Terpenuhi"),"Terpenuhi","Tidak terpenuhi")</f>
        <v>Tidak terpenuhi</v>
      </c>
    </row>
    <row r="254" spans="1:8" x14ac:dyDescent="0.3">
      <c r="A254" s="73"/>
      <c r="E254" s="72" t="s">
        <v>42</v>
      </c>
      <c r="F254" s="52">
        <f t="shared" si="10"/>
        <v>88.328888888888812</v>
      </c>
      <c r="G254" s="50" t="str">
        <f>G147</f>
        <v>Tidak terpenuhi</v>
      </c>
      <c r="H254" s="50" t="str">
        <f>H147</f>
        <v>Tidak terpenuhi</v>
      </c>
    </row>
    <row r="255" spans="1:8" x14ac:dyDescent="0.3">
      <c r="A255" s="73"/>
      <c r="E255" s="72" t="s">
        <v>43</v>
      </c>
      <c r="F255" s="52">
        <f t="shared" si="10"/>
        <v>88.328888888888812</v>
      </c>
      <c r="G255" s="50"/>
      <c r="H255" s="50"/>
    </row>
    <row r="256" spans="1:8" x14ac:dyDescent="0.3">
      <c r="E256" s="74" t="s">
        <v>44</v>
      </c>
      <c r="F256" s="64">
        <f t="shared" si="10"/>
        <v>88.328888888888812</v>
      </c>
      <c r="G256" s="65"/>
      <c r="H256" s="65"/>
    </row>
  </sheetData>
  <conditionalFormatting sqref="E26">
    <cfRule type="containsText" dxfId="14" priority="2" operator="containsText" text="Salah isi">
      <formula>NOT(ISERROR(SEARCH("Salah isi",E26)))</formula>
    </cfRule>
  </conditionalFormatting>
  <conditionalFormatting sqref="E41">
    <cfRule type="containsText" dxfId="13" priority="3" operator="containsText" text="Salah isi">
      <formula>NOT(ISERROR(SEARCH("Salah isi",E41)))</formula>
    </cfRule>
  </conditionalFormatting>
  <conditionalFormatting sqref="E52">
    <cfRule type="containsText" dxfId="12" priority="4" operator="containsText" text="Salah isi">
      <formula>NOT(ISERROR(SEARCH("Salah isi",E52)))</formula>
    </cfRule>
  </conditionalFormatting>
  <conditionalFormatting sqref="E65">
    <cfRule type="containsText" dxfId="11" priority="5" operator="containsText" text="Salah isi">
      <formula>NOT(ISERROR(SEARCH("Salah isi",E65)))</formula>
    </cfRule>
  </conditionalFormatting>
  <conditionalFormatting sqref="E78">
    <cfRule type="containsText" dxfId="10" priority="6" operator="containsText" text="Salah isi">
      <formula>NOT(ISERROR(SEARCH("Salah isi",E78)))</formula>
    </cfRule>
  </conditionalFormatting>
  <conditionalFormatting sqref="E96">
    <cfRule type="containsText" dxfId="9" priority="7" operator="containsText" text="Salah isi">
      <formula>NOT(ISERROR(SEARCH("Salah isi",E96)))</formula>
    </cfRule>
  </conditionalFormatting>
  <conditionalFormatting sqref="E109">
    <cfRule type="containsText" dxfId="8" priority="8" operator="containsText" text="Salah isi">
      <formula>NOT(ISERROR(SEARCH("Salah isi",E109)))</formula>
    </cfRule>
  </conditionalFormatting>
  <conditionalFormatting sqref="E163">
    <cfRule type="containsText" dxfId="7" priority="9" operator="containsText" text="Salah isi">
      <formula>NOT(ISERROR(SEARCH("Salah isi",E163)))</formula>
    </cfRule>
  </conditionalFormatting>
  <conditionalFormatting sqref="E150">
    <cfRule type="containsText" dxfId="6" priority="10" operator="containsText" text="Salah isi">
      <formula>NOT(ISERROR(SEARCH("Salah isi",E150)))</formula>
    </cfRule>
  </conditionalFormatting>
  <conditionalFormatting sqref="E176">
    <cfRule type="containsText" dxfId="5" priority="11" operator="containsText" text="Salah isi">
      <formula>NOT(ISERROR(SEARCH("Salah isi",E176)))</formula>
    </cfRule>
  </conditionalFormatting>
  <conditionalFormatting sqref="E133">
    <cfRule type="containsText" dxfId="4" priority="12" operator="containsText" text="Salah isi">
      <formula>NOT(ISERROR(SEARCH("Salah isi",E133)))</formula>
    </cfRule>
  </conditionalFormatting>
  <conditionalFormatting sqref="E193:E194">
    <cfRule type="containsText" dxfId="3" priority="13" operator="containsText" text="Salah isi">
      <formula>NOT(ISERROR(SEARCH("Salah isi",E193)))</formula>
    </cfRule>
  </conditionalFormatting>
  <conditionalFormatting sqref="E235">
    <cfRule type="containsText" dxfId="2" priority="14" operator="containsText" text="Salah isi">
      <formula>NOT(ISERROR(SEARCH("Salah isi",E235)))</formula>
    </cfRule>
  </conditionalFormatting>
  <conditionalFormatting sqref="E120">
    <cfRule type="containsText" dxfId="1" priority="15" operator="containsText" text="Salah isi">
      <formula>NOT(ISERROR(SEARCH("Salah isi",E120)))</formula>
    </cfRule>
  </conditionalFormatting>
  <conditionalFormatting sqref="E236">
    <cfRule type="containsText" dxfId="0" priority="16" operator="containsText" text="Salah isi">
      <formula>NOT(ISERROR(SEARCH("Salah isi",E236)))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4"/>
  <sheetViews>
    <sheetView zoomScaleNormal="100" zoomScalePageLayoutView="60" workbookViewId="0">
      <selection activeCell="I9" sqref="I9"/>
    </sheetView>
  </sheetViews>
  <sheetFormatPr defaultColWidth="9.21875" defaultRowHeight="14.4" x14ac:dyDescent="0.3"/>
  <cols>
    <col min="1" max="1" width="5.6640625" style="9" customWidth="1"/>
    <col min="2" max="7" width="10.6640625" style="9" customWidth="1"/>
    <col min="8" max="64" width="9.21875" style="9"/>
  </cols>
  <sheetData>
    <row r="1" spans="1:7" x14ac:dyDescent="0.3">
      <c r="A1" s="75" t="s">
        <v>119</v>
      </c>
    </row>
    <row r="2" spans="1:7" x14ac:dyDescent="0.3">
      <c r="A2" s="75"/>
    </row>
    <row r="3" spans="1:7" ht="24.9" customHeight="1" x14ac:dyDescent="0.3">
      <c r="A3" s="3" t="s">
        <v>120</v>
      </c>
      <c r="B3" s="3" t="s">
        <v>121</v>
      </c>
      <c r="C3" s="3" t="s">
        <v>122</v>
      </c>
      <c r="D3" s="3" t="s">
        <v>123</v>
      </c>
      <c r="E3" s="3"/>
      <c r="F3" s="3" t="s">
        <v>124</v>
      </c>
      <c r="G3" s="3" t="s">
        <v>125</v>
      </c>
    </row>
    <row r="4" spans="1:7" x14ac:dyDescent="0.3">
      <c r="A4" s="3"/>
      <c r="B4" s="3"/>
      <c r="C4" s="3"/>
      <c r="D4" s="76" t="s">
        <v>126</v>
      </c>
      <c r="E4" s="76" t="s">
        <v>127</v>
      </c>
      <c r="F4" s="3"/>
      <c r="G4" s="3"/>
    </row>
    <row r="5" spans="1:7" x14ac:dyDescent="0.3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</row>
    <row r="6" spans="1:7" ht="13.8" customHeight="1" x14ac:dyDescent="0.3">
      <c r="A6" s="2">
        <v>1</v>
      </c>
      <c r="B6" s="2" t="s">
        <v>128</v>
      </c>
      <c r="C6" s="78" t="s">
        <v>129</v>
      </c>
      <c r="D6" s="79">
        <v>0</v>
      </c>
      <c r="E6" s="79">
        <v>0</v>
      </c>
      <c r="F6" s="79">
        <v>0</v>
      </c>
      <c r="G6" s="79">
        <v>0</v>
      </c>
    </row>
    <row r="7" spans="1:7" x14ac:dyDescent="0.3">
      <c r="A7" s="2"/>
      <c r="B7" s="2"/>
      <c r="C7" s="78" t="s">
        <v>130</v>
      </c>
      <c r="D7" s="79">
        <v>0</v>
      </c>
      <c r="E7" s="79">
        <v>0</v>
      </c>
      <c r="F7" s="79">
        <v>0</v>
      </c>
      <c r="G7" s="79">
        <v>0</v>
      </c>
    </row>
    <row r="8" spans="1:7" ht="13.8" customHeight="1" x14ac:dyDescent="0.3">
      <c r="A8" s="2">
        <v>2</v>
      </c>
      <c r="B8" s="2" t="s">
        <v>131</v>
      </c>
      <c r="C8" s="78" t="s">
        <v>129</v>
      </c>
      <c r="D8" s="79">
        <v>0</v>
      </c>
      <c r="E8" s="79">
        <v>0</v>
      </c>
      <c r="F8" s="79">
        <v>0</v>
      </c>
      <c r="G8" s="79">
        <v>0</v>
      </c>
    </row>
    <row r="9" spans="1:7" x14ac:dyDescent="0.3">
      <c r="A9" s="2"/>
      <c r="B9" s="2"/>
      <c r="C9" s="78" t="s">
        <v>130</v>
      </c>
      <c r="D9" s="79">
        <v>0</v>
      </c>
      <c r="E9" s="79">
        <v>0</v>
      </c>
      <c r="F9" s="79">
        <v>0</v>
      </c>
      <c r="G9" s="79">
        <v>0</v>
      </c>
    </row>
    <row r="10" spans="1:7" ht="13.8" customHeight="1" x14ac:dyDescent="0.3">
      <c r="A10" s="2">
        <v>3</v>
      </c>
      <c r="B10" s="2" t="s">
        <v>132</v>
      </c>
      <c r="C10" s="78" t="s">
        <v>129</v>
      </c>
      <c r="D10" s="79">
        <v>0</v>
      </c>
      <c r="E10" s="79">
        <v>0</v>
      </c>
      <c r="F10" s="79">
        <v>0</v>
      </c>
      <c r="G10" s="79">
        <v>0</v>
      </c>
    </row>
    <row r="11" spans="1:7" x14ac:dyDescent="0.3">
      <c r="A11" s="2"/>
      <c r="B11" s="2"/>
      <c r="C11" s="78" t="s">
        <v>130</v>
      </c>
      <c r="D11" s="79">
        <v>0</v>
      </c>
      <c r="E11" s="79">
        <v>0</v>
      </c>
      <c r="F11" s="79">
        <v>0</v>
      </c>
      <c r="G11" s="79">
        <v>0</v>
      </c>
    </row>
    <row r="12" spans="1:7" x14ac:dyDescent="0.3">
      <c r="A12" s="75"/>
    </row>
    <row r="13" spans="1:7" x14ac:dyDescent="0.3">
      <c r="A13" s="75"/>
    </row>
    <row r="14" spans="1:7" x14ac:dyDescent="0.3">
      <c r="A14" s="75"/>
    </row>
  </sheetData>
  <mergeCells count="12">
    <mergeCell ref="A10:A11"/>
    <mergeCell ref="B10:B11"/>
    <mergeCell ref="G3:G4"/>
    <mergeCell ref="A6:A7"/>
    <mergeCell ref="B6:B7"/>
    <mergeCell ref="A8:A9"/>
    <mergeCell ref="B8:B9"/>
    <mergeCell ref="A3:A4"/>
    <mergeCell ref="B3:B4"/>
    <mergeCell ref="C3:C4"/>
    <mergeCell ref="D3:E3"/>
    <mergeCell ref="F3:F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3"/>
  <sheetViews>
    <sheetView zoomScaleNormal="100" zoomScalePageLayoutView="60" workbookViewId="0">
      <selection activeCell="D5" sqref="D5:F10"/>
    </sheetView>
  </sheetViews>
  <sheetFormatPr defaultColWidth="9.21875" defaultRowHeight="14.4" x14ac:dyDescent="0.3"/>
  <cols>
    <col min="1" max="1" width="5.6640625" style="9" customWidth="1"/>
    <col min="2" max="6" width="10.6640625" style="9" customWidth="1"/>
    <col min="7" max="64" width="9.21875" style="9"/>
  </cols>
  <sheetData>
    <row r="1" spans="1:6" x14ac:dyDescent="0.3">
      <c r="A1" s="75" t="s">
        <v>133</v>
      </c>
    </row>
    <row r="2" spans="1:6" x14ac:dyDescent="0.3">
      <c r="A2" s="75"/>
    </row>
    <row r="3" spans="1:6" ht="72" customHeight="1" x14ac:dyDescent="0.3">
      <c r="A3" s="76" t="s">
        <v>120</v>
      </c>
      <c r="B3" s="76" t="s">
        <v>121</v>
      </c>
      <c r="C3" s="76" t="s">
        <v>122</v>
      </c>
      <c r="D3" s="76" t="s">
        <v>124</v>
      </c>
      <c r="E3" s="76" t="s">
        <v>134</v>
      </c>
      <c r="F3" s="76" t="s">
        <v>135</v>
      </c>
    </row>
    <row r="4" spans="1:6" x14ac:dyDescent="0.3">
      <c r="A4" s="77">
        <v>1</v>
      </c>
      <c r="B4" s="77">
        <v>2</v>
      </c>
      <c r="C4" s="77">
        <v>3</v>
      </c>
      <c r="D4" s="77">
        <v>4</v>
      </c>
      <c r="E4" s="77">
        <v>5</v>
      </c>
      <c r="F4" s="77">
        <v>6</v>
      </c>
    </row>
    <row r="5" spans="1:6" ht="13.8" customHeight="1" x14ac:dyDescent="0.3">
      <c r="A5" s="2">
        <v>1</v>
      </c>
      <c r="B5" s="2" t="s">
        <v>128</v>
      </c>
      <c r="C5" s="78" t="s">
        <v>129</v>
      </c>
      <c r="D5" s="79">
        <v>0</v>
      </c>
      <c r="E5" s="79">
        <v>0</v>
      </c>
      <c r="F5" s="79">
        <v>0</v>
      </c>
    </row>
    <row r="6" spans="1:6" x14ac:dyDescent="0.3">
      <c r="A6" s="2"/>
      <c r="B6" s="2"/>
      <c r="C6" s="78" t="s">
        <v>130</v>
      </c>
      <c r="D6" s="79">
        <v>0</v>
      </c>
      <c r="E6" s="79">
        <v>0</v>
      </c>
      <c r="F6" s="79">
        <v>0</v>
      </c>
    </row>
    <row r="7" spans="1:6" ht="13.8" customHeight="1" x14ac:dyDescent="0.3">
      <c r="A7" s="2">
        <v>2</v>
      </c>
      <c r="B7" s="2" t="s">
        <v>131</v>
      </c>
      <c r="C7" s="78" t="s">
        <v>129</v>
      </c>
      <c r="D7" s="79">
        <v>0</v>
      </c>
      <c r="E7" s="79">
        <v>0</v>
      </c>
      <c r="F7" s="79">
        <v>0</v>
      </c>
    </row>
    <row r="8" spans="1:6" x14ac:dyDescent="0.3">
      <c r="A8" s="2"/>
      <c r="B8" s="2"/>
      <c r="C8" s="78" t="s">
        <v>130</v>
      </c>
      <c r="D8" s="79">
        <v>0</v>
      </c>
      <c r="E8" s="79">
        <v>0</v>
      </c>
      <c r="F8" s="79">
        <v>0</v>
      </c>
    </row>
    <row r="9" spans="1:6" ht="13.8" customHeight="1" x14ac:dyDescent="0.3">
      <c r="A9" s="2">
        <v>3</v>
      </c>
      <c r="B9" s="2" t="s">
        <v>132</v>
      </c>
      <c r="C9" s="78" t="s">
        <v>129</v>
      </c>
      <c r="D9" s="79">
        <v>0</v>
      </c>
      <c r="E9" s="79">
        <v>0</v>
      </c>
      <c r="F9" s="79">
        <v>0</v>
      </c>
    </row>
    <row r="10" spans="1:6" x14ac:dyDescent="0.3">
      <c r="A10" s="2"/>
      <c r="B10" s="2"/>
      <c r="C10" s="78" t="s">
        <v>130</v>
      </c>
      <c r="D10" s="79">
        <v>0</v>
      </c>
      <c r="E10" s="79">
        <v>0</v>
      </c>
      <c r="F10" s="79">
        <v>0</v>
      </c>
    </row>
    <row r="11" spans="1:6" x14ac:dyDescent="0.3">
      <c r="A11" s="75"/>
    </row>
    <row r="12" spans="1:6" x14ac:dyDescent="0.3">
      <c r="A12" s="75"/>
    </row>
    <row r="13" spans="1:6" x14ac:dyDescent="0.3">
      <c r="A13" s="75"/>
    </row>
  </sheetData>
  <mergeCells count="6">
    <mergeCell ref="A5:A6"/>
    <mergeCell ref="B5:B6"/>
    <mergeCell ref="A7:A8"/>
    <mergeCell ref="B7:B8"/>
    <mergeCell ref="A9:A10"/>
    <mergeCell ref="B9:B1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04"/>
  <sheetViews>
    <sheetView zoomScaleNormal="100" zoomScalePageLayoutView="60" workbookViewId="0">
      <selection activeCell="H14" sqref="H14"/>
    </sheetView>
  </sheetViews>
  <sheetFormatPr defaultColWidth="9.21875" defaultRowHeight="14.4" x14ac:dyDescent="0.3"/>
  <cols>
    <col min="1" max="1" width="5.6640625" style="9" customWidth="1"/>
    <col min="2" max="2" width="24.88671875" style="9" customWidth="1"/>
    <col min="3" max="3" width="14.109375" style="9" customWidth="1"/>
    <col min="4" max="4" width="13.44140625" style="9" customWidth="1"/>
    <col min="5" max="5" width="17.33203125" style="9" customWidth="1"/>
    <col min="6" max="6" width="25" style="9" customWidth="1"/>
    <col min="7" max="7" width="12.109375" style="9" customWidth="1"/>
    <col min="8" max="64" width="9.21875" style="9"/>
  </cols>
  <sheetData>
    <row r="1" spans="1:7" x14ac:dyDescent="0.3">
      <c r="A1" s="75" t="s">
        <v>136</v>
      </c>
    </row>
    <row r="2" spans="1:7" x14ac:dyDescent="0.3">
      <c r="A2" s="75"/>
    </row>
    <row r="3" spans="1:7" ht="31.35" customHeight="1" x14ac:dyDescent="0.3">
      <c r="A3" s="80" t="s">
        <v>120</v>
      </c>
      <c r="B3" s="80" t="s">
        <v>137</v>
      </c>
      <c r="C3" s="80" t="s">
        <v>138</v>
      </c>
      <c r="D3" s="80" t="s">
        <v>139</v>
      </c>
      <c r="E3" s="80" t="s">
        <v>140</v>
      </c>
      <c r="F3" s="80" t="s">
        <v>141</v>
      </c>
      <c r="G3" s="80" t="s">
        <v>142</v>
      </c>
    </row>
    <row r="4" spans="1:7" x14ac:dyDescent="0.3">
      <c r="A4" s="81">
        <v>1</v>
      </c>
      <c r="B4" s="81">
        <v>2</v>
      </c>
      <c r="C4" s="81">
        <v>3</v>
      </c>
      <c r="D4" s="81">
        <v>4</v>
      </c>
      <c r="E4" s="81">
        <v>5</v>
      </c>
      <c r="F4" s="81">
        <v>6</v>
      </c>
      <c r="G4" s="81">
        <v>7</v>
      </c>
    </row>
    <row r="5" spans="1:7" x14ac:dyDescent="0.3">
      <c r="A5" s="82">
        <v>1</v>
      </c>
      <c r="B5" s="83"/>
      <c r="C5" s="83"/>
      <c r="D5" s="83"/>
      <c r="E5" s="83"/>
      <c r="F5" s="83"/>
      <c r="G5" s="83"/>
    </row>
    <row r="6" spans="1:7" x14ac:dyDescent="0.3">
      <c r="A6" s="18">
        <v>2</v>
      </c>
      <c r="B6" s="84"/>
      <c r="C6" s="84"/>
      <c r="D6" s="84"/>
      <c r="E6" s="84"/>
      <c r="F6" s="84"/>
      <c r="G6" s="84"/>
    </row>
    <row r="7" spans="1:7" x14ac:dyDescent="0.3">
      <c r="A7" s="82">
        <v>3</v>
      </c>
      <c r="B7" s="83"/>
      <c r="C7" s="83"/>
      <c r="D7" s="83"/>
      <c r="E7" s="83"/>
      <c r="F7" s="83"/>
      <c r="G7" s="83"/>
    </row>
    <row r="8" spans="1:7" x14ac:dyDescent="0.3">
      <c r="A8" s="18">
        <v>4</v>
      </c>
      <c r="B8" s="84"/>
      <c r="C8" s="84"/>
      <c r="D8" s="84"/>
      <c r="E8" s="84"/>
      <c r="F8" s="84"/>
      <c r="G8" s="84"/>
    </row>
    <row r="9" spans="1:7" x14ac:dyDescent="0.3">
      <c r="A9" s="82">
        <v>5</v>
      </c>
      <c r="B9" s="83"/>
      <c r="C9" s="83"/>
      <c r="D9" s="83"/>
      <c r="E9" s="83"/>
      <c r="F9" s="83"/>
      <c r="G9" s="83"/>
    </row>
    <row r="10" spans="1:7" x14ac:dyDescent="0.3">
      <c r="A10" s="18">
        <v>6</v>
      </c>
      <c r="B10" s="84"/>
      <c r="C10" s="84"/>
      <c r="D10" s="84"/>
      <c r="E10" s="84"/>
      <c r="F10" s="84"/>
      <c r="G10" s="84"/>
    </row>
    <row r="11" spans="1:7" x14ac:dyDescent="0.3">
      <c r="A11" s="82">
        <v>7</v>
      </c>
      <c r="B11" s="83"/>
      <c r="C11" s="83"/>
      <c r="D11" s="83"/>
      <c r="E11" s="83"/>
      <c r="F11" s="83"/>
      <c r="G11" s="83"/>
    </row>
    <row r="12" spans="1:7" x14ac:dyDescent="0.3">
      <c r="A12" s="18">
        <v>8</v>
      </c>
      <c r="B12" s="84"/>
      <c r="C12" s="84"/>
      <c r="D12" s="84"/>
      <c r="E12" s="84"/>
      <c r="F12" s="84"/>
      <c r="G12" s="84"/>
    </row>
    <row r="13" spans="1:7" x14ac:dyDescent="0.3">
      <c r="A13" s="82">
        <v>9</v>
      </c>
      <c r="B13" s="83"/>
      <c r="C13" s="83"/>
      <c r="D13" s="83"/>
      <c r="E13" s="83"/>
      <c r="F13" s="83"/>
      <c r="G13" s="83"/>
    </row>
    <row r="14" spans="1:7" x14ac:dyDescent="0.3">
      <c r="A14" s="18">
        <v>10</v>
      </c>
      <c r="B14" s="84"/>
      <c r="C14" s="84"/>
      <c r="D14" s="84"/>
      <c r="E14" s="84"/>
      <c r="F14" s="84"/>
      <c r="G14" s="84"/>
    </row>
    <row r="15" spans="1:7" x14ac:dyDescent="0.3">
      <c r="A15" s="82">
        <v>11</v>
      </c>
      <c r="B15" s="83"/>
      <c r="C15" s="83"/>
      <c r="D15" s="83"/>
      <c r="E15" s="83"/>
      <c r="F15" s="83"/>
      <c r="G15" s="83"/>
    </row>
    <row r="16" spans="1:7" x14ac:dyDescent="0.3">
      <c r="A16" s="18">
        <v>12</v>
      </c>
      <c r="B16" s="84"/>
      <c r="C16" s="84"/>
      <c r="D16" s="84"/>
      <c r="E16" s="84"/>
      <c r="F16" s="84"/>
      <c r="G16" s="84"/>
    </row>
    <row r="17" spans="1:7" x14ac:dyDescent="0.3">
      <c r="A17" s="82">
        <v>13</v>
      </c>
      <c r="B17" s="83"/>
      <c r="C17" s="83"/>
      <c r="D17" s="83"/>
      <c r="E17" s="83"/>
      <c r="F17" s="83"/>
      <c r="G17" s="83"/>
    </row>
    <row r="18" spans="1:7" x14ac:dyDescent="0.3">
      <c r="A18" s="18">
        <v>14</v>
      </c>
      <c r="B18" s="84"/>
      <c r="C18" s="84"/>
      <c r="D18" s="84"/>
      <c r="E18" s="84"/>
      <c r="F18" s="84"/>
      <c r="G18" s="84"/>
    </row>
    <row r="19" spans="1:7" x14ac:dyDescent="0.3">
      <c r="A19" s="82">
        <v>15</v>
      </c>
      <c r="B19" s="83"/>
      <c r="C19" s="83"/>
      <c r="D19" s="83"/>
      <c r="E19" s="83"/>
      <c r="F19" s="83"/>
      <c r="G19" s="83"/>
    </row>
    <row r="20" spans="1:7" x14ac:dyDescent="0.3">
      <c r="A20" s="18">
        <v>16</v>
      </c>
      <c r="B20" s="84"/>
      <c r="C20" s="84"/>
      <c r="D20" s="84"/>
      <c r="E20" s="84"/>
      <c r="F20" s="84"/>
      <c r="G20" s="84"/>
    </row>
    <row r="21" spans="1:7" x14ac:dyDescent="0.3">
      <c r="A21" s="82">
        <v>17</v>
      </c>
      <c r="B21" s="83"/>
      <c r="C21" s="83"/>
      <c r="D21" s="83"/>
      <c r="E21" s="83"/>
      <c r="F21" s="83"/>
      <c r="G21" s="83"/>
    </row>
    <row r="22" spans="1:7" x14ac:dyDescent="0.3">
      <c r="A22" s="18">
        <v>18</v>
      </c>
      <c r="B22" s="84"/>
      <c r="C22" s="84"/>
      <c r="D22" s="84"/>
      <c r="E22" s="84"/>
      <c r="F22" s="84"/>
      <c r="G22" s="84"/>
    </row>
    <row r="23" spans="1:7" x14ac:dyDescent="0.3">
      <c r="A23" s="82">
        <v>19</v>
      </c>
      <c r="B23" s="83"/>
      <c r="C23" s="83"/>
      <c r="D23" s="83"/>
      <c r="E23" s="83"/>
      <c r="F23" s="83"/>
      <c r="G23" s="83"/>
    </row>
    <row r="24" spans="1:7" x14ac:dyDescent="0.3">
      <c r="A24" s="18">
        <v>20</v>
      </c>
      <c r="B24" s="84"/>
      <c r="C24" s="84"/>
      <c r="D24" s="84"/>
      <c r="E24" s="84"/>
      <c r="F24" s="84"/>
      <c r="G24" s="84"/>
    </row>
    <row r="25" spans="1:7" x14ac:dyDescent="0.3">
      <c r="A25" s="82">
        <v>21</v>
      </c>
      <c r="B25" s="83"/>
      <c r="C25" s="83"/>
      <c r="D25" s="83"/>
      <c r="E25" s="83"/>
      <c r="F25" s="83"/>
      <c r="G25" s="83"/>
    </row>
    <row r="26" spans="1:7" x14ac:dyDescent="0.3">
      <c r="A26" s="18">
        <v>22</v>
      </c>
      <c r="B26" s="84"/>
      <c r="C26" s="84"/>
      <c r="D26" s="84"/>
      <c r="E26" s="84"/>
      <c r="F26" s="84"/>
      <c r="G26" s="84"/>
    </row>
    <row r="27" spans="1:7" x14ac:dyDescent="0.3">
      <c r="A27" s="82">
        <v>23</v>
      </c>
      <c r="B27" s="83"/>
      <c r="C27" s="83"/>
      <c r="D27" s="83"/>
      <c r="E27" s="83"/>
      <c r="F27" s="83"/>
      <c r="G27" s="83"/>
    </row>
    <row r="28" spans="1:7" x14ac:dyDescent="0.3">
      <c r="A28" s="18">
        <v>24</v>
      </c>
      <c r="B28" s="84"/>
      <c r="C28" s="84"/>
      <c r="D28" s="84"/>
      <c r="E28" s="84"/>
      <c r="F28" s="84"/>
      <c r="G28" s="84"/>
    </row>
    <row r="29" spans="1:7" x14ac:dyDescent="0.3">
      <c r="A29" s="82">
        <v>25</v>
      </c>
      <c r="B29" s="83"/>
      <c r="C29" s="83"/>
      <c r="D29" s="83"/>
      <c r="E29" s="83"/>
      <c r="F29" s="83"/>
      <c r="G29" s="83"/>
    </row>
    <row r="30" spans="1:7" x14ac:dyDescent="0.3">
      <c r="A30" s="18">
        <v>26</v>
      </c>
      <c r="B30" s="84"/>
      <c r="C30" s="84"/>
      <c r="D30" s="84"/>
      <c r="E30" s="84"/>
      <c r="F30" s="84"/>
      <c r="G30" s="84"/>
    </row>
    <row r="31" spans="1:7" x14ac:dyDescent="0.3">
      <c r="A31" s="82">
        <v>27</v>
      </c>
      <c r="B31" s="83"/>
      <c r="C31" s="83"/>
      <c r="D31" s="83"/>
      <c r="E31" s="83"/>
      <c r="F31" s="83"/>
      <c r="G31" s="83"/>
    </row>
    <row r="32" spans="1:7" x14ac:dyDescent="0.3">
      <c r="A32" s="18">
        <v>28</v>
      </c>
      <c r="B32" s="84"/>
      <c r="C32" s="84"/>
      <c r="D32" s="84"/>
      <c r="E32" s="84"/>
      <c r="F32" s="84"/>
      <c r="G32" s="84"/>
    </row>
    <row r="33" spans="1:7" x14ac:dyDescent="0.3">
      <c r="A33" s="82">
        <v>29</v>
      </c>
      <c r="B33" s="83"/>
      <c r="C33" s="83"/>
      <c r="D33" s="83"/>
      <c r="E33" s="83"/>
      <c r="F33" s="83"/>
      <c r="G33" s="83"/>
    </row>
    <row r="34" spans="1:7" x14ac:dyDescent="0.3">
      <c r="A34" s="18">
        <v>30</v>
      </c>
      <c r="B34" s="84"/>
      <c r="C34" s="84"/>
      <c r="D34" s="84"/>
      <c r="E34" s="84"/>
      <c r="F34" s="84"/>
      <c r="G34" s="84"/>
    </row>
    <row r="35" spans="1:7" x14ac:dyDescent="0.3">
      <c r="A35" s="82">
        <v>31</v>
      </c>
      <c r="B35" s="83"/>
      <c r="C35" s="83"/>
      <c r="D35" s="83"/>
      <c r="E35" s="83"/>
      <c r="F35" s="83"/>
      <c r="G35" s="83"/>
    </row>
    <row r="36" spans="1:7" x14ac:dyDescent="0.3">
      <c r="A36" s="18">
        <v>32</v>
      </c>
      <c r="B36" s="84"/>
      <c r="C36" s="84"/>
      <c r="D36" s="84"/>
      <c r="E36" s="84"/>
      <c r="F36" s="84"/>
      <c r="G36" s="84"/>
    </row>
    <row r="37" spans="1:7" x14ac:dyDescent="0.3">
      <c r="A37" s="82">
        <v>33</v>
      </c>
      <c r="B37" s="83"/>
      <c r="C37" s="83"/>
      <c r="D37" s="83"/>
      <c r="E37" s="83"/>
      <c r="F37" s="83"/>
      <c r="G37" s="83"/>
    </row>
    <row r="38" spans="1:7" x14ac:dyDescent="0.3">
      <c r="A38" s="18">
        <v>34</v>
      </c>
      <c r="B38" s="84"/>
      <c r="C38" s="84"/>
      <c r="D38" s="84"/>
      <c r="E38" s="84"/>
      <c r="F38" s="84"/>
      <c r="G38" s="84"/>
    </row>
    <row r="39" spans="1:7" x14ac:dyDescent="0.3">
      <c r="A39" s="82">
        <v>35</v>
      </c>
      <c r="B39" s="83"/>
      <c r="C39" s="83"/>
      <c r="D39" s="83"/>
      <c r="E39" s="83"/>
      <c r="F39" s="83"/>
      <c r="G39" s="83"/>
    </row>
    <row r="40" spans="1:7" x14ac:dyDescent="0.3">
      <c r="A40" s="18">
        <v>36</v>
      </c>
      <c r="B40" s="84"/>
      <c r="C40" s="84"/>
      <c r="D40" s="84"/>
      <c r="E40" s="84"/>
      <c r="F40" s="84"/>
      <c r="G40" s="84"/>
    </row>
    <row r="41" spans="1:7" x14ac:dyDescent="0.3">
      <c r="A41" s="82">
        <v>37</v>
      </c>
      <c r="B41" s="83"/>
      <c r="C41" s="83"/>
      <c r="D41" s="83"/>
      <c r="E41" s="83"/>
      <c r="F41" s="83"/>
      <c r="G41" s="83"/>
    </row>
    <row r="42" spans="1:7" x14ac:dyDescent="0.3">
      <c r="A42" s="18">
        <v>38</v>
      </c>
      <c r="B42" s="84"/>
      <c r="C42" s="84"/>
      <c r="D42" s="84"/>
      <c r="E42" s="84"/>
      <c r="F42" s="84"/>
      <c r="G42" s="84"/>
    </row>
    <row r="43" spans="1:7" x14ac:dyDescent="0.3">
      <c r="A43" s="82">
        <v>39</v>
      </c>
      <c r="B43" s="83"/>
      <c r="C43" s="83"/>
      <c r="D43" s="83"/>
      <c r="E43" s="83"/>
      <c r="F43" s="83"/>
      <c r="G43" s="83"/>
    </row>
    <row r="44" spans="1:7" x14ac:dyDescent="0.3">
      <c r="A44" s="18">
        <v>40</v>
      </c>
      <c r="B44" s="84"/>
      <c r="C44" s="84"/>
      <c r="D44" s="84"/>
      <c r="E44" s="84"/>
      <c r="F44" s="84"/>
      <c r="G44" s="84"/>
    </row>
    <row r="45" spans="1:7" x14ac:dyDescent="0.3">
      <c r="A45" s="82">
        <v>41</v>
      </c>
      <c r="B45" s="83"/>
      <c r="C45" s="83"/>
      <c r="D45" s="83"/>
      <c r="E45" s="83"/>
      <c r="F45" s="83"/>
      <c r="G45" s="83"/>
    </row>
    <row r="46" spans="1:7" x14ac:dyDescent="0.3">
      <c r="A46" s="18">
        <v>42</v>
      </c>
      <c r="B46" s="84"/>
      <c r="C46" s="84"/>
      <c r="D46" s="84"/>
      <c r="E46" s="84"/>
      <c r="F46" s="84"/>
      <c r="G46" s="84"/>
    </row>
    <row r="47" spans="1:7" x14ac:dyDescent="0.3">
      <c r="A47" s="82">
        <v>43</v>
      </c>
      <c r="B47" s="83"/>
      <c r="C47" s="83"/>
      <c r="D47" s="83"/>
      <c r="E47" s="83"/>
      <c r="F47" s="83"/>
      <c r="G47" s="83"/>
    </row>
    <row r="48" spans="1:7" x14ac:dyDescent="0.3">
      <c r="A48" s="18">
        <v>44</v>
      </c>
      <c r="B48" s="84"/>
      <c r="C48" s="84"/>
      <c r="D48" s="84"/>
      <c r="E48" s="84"/>
      <c r="F48" s="84"/>
      <c r="G48" s="84"/>
    </row>
    <row r="49" spans="1:7" x14ac:dyDescent="0.3">
      <c r="A49" s="82">
        <v>45</v>
      </c>
      <c r="B49" s="83"/>
      <c r="C49" s="83"/>
      <c r="D49" s="83"/>
      <c r="E49" s="83"/>
      <c r="F49" s="83"/>
      <c r="G49" s="83"/>
    </row>
    <row r="50" spans="1:7" x14ac:dyDescent="0.3">
      <c r="A50" s="18">
        <v>46</v>
      </c>
      <c r="B50" s="84"/>
      <c r="C50" s="84"/>
      <c r="D50" s="84"/>
      <c r="E50" s="84"/>
      <c r="F50" s="84"/>
      <c r="G50" s="84"/>
    </row>
    <row r="51" spans="1:7" x14ac:dyDescent="0.3">
      <c r="A51" s="82">
        <v>47</v>
      </c>
      <c r="B51" s="83"/>
      <c r="C51" s="83"/>
      <c r="D51" s="83"/>
      <c r="E51" s="83"/>
      <c r="F51" s="83"/>
      <c r="G51" s="83"/>
    </row>
    <row r="52" spans="1:7" x14ac:dyDescent="0.3">
      <c r="A52" s="18">
        <v>48</v>
      </c>
      <c r="B52" s="84"/>
      <c r="C52" s="84"/>
      <c r="D52" s="84"/>
      <c r="E52" s="84"/>
      <c r="F52" s="84"/>
      <c r="G52" s="84"/>
    </row>
    <row r="53" spans="1:7" x14ac:dyDescent="0.3">
      <c r="A53" s="82">
        <v>49</v>
      </c>
      <c r="B53" s="83"/>
      <c r="C53" s="83"/>
      <c r="D53" s="83"/>
      <c r="E53" s="83"/>
      <c r="F53" s="83"/>
      <c r="G53" s="83"/>
    </row>
    <row r="54" spans="1:7" x14ac:dyDescent="0.3">
      <c r="A54" s="18">
        <v>50</v>
      </c>
      <c r="B54" s="84"/>
      <c r="C54" s="84"/>
      <c r="D54" s="84"/>
      <c r="E54" s="84"/>
      <c r="F54" s="84"/>
      <c r="G54" s="84"/>
    </row>
    <row r="55" spans="1:7" x14ac:dyDescent="0.3">
      <c r="A55" s="82">
        <v>51</v>
      </c>
      <c r="B55" s="83"/>
      <c r="C55" s="83"/>
      <c r="D55" s="83"/>
      <c r="E55" s="83"/>
      <c r="F55" s="83"/>
      <c r="G55" s="83"/>
    </row>
    <row r="56" spans="1:7" x14ac:dyDescent="0.3">
      <c r="A56" s="18">
        <v>52</v>
      </c>
      <c r="B56" s="84"/>
      <c r="C56" s="84"/>
      <c r="D56" s="84"/>
      <c r="E56" s="84"/>
      <c r="F56" s="84"/>
      <c r="G56" s="84"/>
    </row>
    <row r="57" spans="1:7" x14ac:dyDescent="0.3">
      <c r="A57" s="82">
        <v>53</v>
      </c>
      <c r="B57" s="83"/>
      <c r="C57" s="83"/>
      <c r="D57" s="83"/>
      <c r="E57" s="83"/>
      <c r="F57" s="83"/>
      <c r="G57" s="83"/>
    </row>
    <row r="58" spans="1:7" x14ac:dyDescent="0.3">
      <c r="A58" s="18">
        <v>54</v>
      </c>
      <c r="B58" s="84"/>
      <c r="C58" s="84"/>
      <c r="D58" s="84"/>
      <c r="E58" s="84"/>
      <c r="F58" s="84"/>
      <c r="G58" s="84"/>
    </row>
    <row r="59" spans="1:7" x14ac:dyDescent="0.3">
      <c r="A59" s="82">
        <v>55</v>
      </c>
      <c r="B59" s="83"/>
      <c r="C59" s="83"/>
      <c r="D59" s="83"/>
      <c r="E59" s="83"/>
      <c r="F59" s="83"/>
      <c r="G59" s="83"/>
    </row>
    <row r="60" spans="1:7" x14ac:dyDescent="0.3">
      <c r="A60" s="18">
        <v>56</v>
      </c>
      <c r="B60" s="84"/>
      <c r="C60" s="84"/>
      <c r="D60" s="84"/>
      <c r="E60" s="84"/>
      <c r="F60" s="84"/>
      <c r="G60" s="84"/>
    </row>
    <row r="61" spans="1:7" x14ac:dyDescent="0.3">
      <c r="A61" s="82">
        <v>57</v>
      </c>
      <c r="B61" s="83"/>
      <c r="C61" s="83"/>
      <c r="D61" s="83"/>
      <c r="E61" s="83"/>
      <c r="F61" s="83"/>
      <c r="G61" s="83"/>
    </row>
    <row r="62" spans="1:7" x14ac:dyDescent="0.3">
      <c r="A62" s="18">
        <v>58</v>
      </c>
      <c r="B62" s="84"/>
      <c r="C62" s="84"/>
      <c r="D62" s="84"/>
      <c r="E62" s="84"/>
      <c r="F62" s="84"/>
      <c r="G62" s="84"/>
    </row>
    <row r="63" spans="1:7" x14ac:dyDescent="0.3">
      <c r="A63" s="82">
        <v>59</v>
      </c>
      <c r="B63" s="83"/>
      <c r="C63" s="83"/>
      <c r="D63" s="83"/>
      <c r="E63" s="83"/>
      <c r="F63" s="83"/>
      <c r="G63" s="83"/>
    </row>
    <row r="64" spans="1:7" x14ac:dyDescent="0.3">
      <c r="A64" s="18">
        <v>60</v>
      </c>
      <c r="B64" s="84"/>
      <c r="C64" s="84"/>
      <c r="D64" s="84"/>
      <c r="E64" s="84"/>
      <c r="F64" s="84"/>
      <c r="G64" s="84"/>
    </row>
    <row r="65" spans="1:7" x14ac:dyDescent="0.3">
      <c r="A65" s="82">
        <v>61</v>
      </c>
      <c r="B65" s="83"/>
      <c r="C65" s="83"/>
      <c r="D65" s="83"/>
      <c r="E65" s="83"/>
      <c r="F65" s="83"/>
      <c r="G65" s="83"/>
    </row>
    <row r="66" spans="1:7" x14ac:dyDescent="0.3">
      <c r="A66" s="18">
        <v>62</v>
      </c>
      <c r="B66" s="84"/>
      <c r="C66" s="84"/>
      <c r="D66" s="84"/>
      <c r="E66" s="84"/>
      <c r="F66" s="84"/>
      <c r="G66" s="84"/>
    </row>
    <row r="67" spans="1:7" x14ac:dyDescent="0.3">
      <c r="A67" s="82">
        <v>63</v>
      </c>
      <c r="B67" s="83"/>
      <c r="C67" s="83"/>
      <c r="D67" s="83"/>
      <c r="E67" s="83"/>
      <c r="F67" s="83"/>
      <c r="G67" s="83"/>
    </row>
    <row r="68" spans="1:7" x14ac:dyDescent="0.3">
      <c r="A68" s="18">
        <v>64</v>
      </c>
      <c r="B68" s="84"/>
      <c r="C68" s="84"/>
      <c r="D68" s="84"/>
      <c r="E68" s="84"/>
      <c r="F68" s="84"/>
      <c r="G68" s="84"/>
    </row>
    <row r="69" spans="1:7" x14ac:dyDescent="0.3">
      <c r="A69" s="82">
        <v>65</v>
      </c>
      <c r="B69" s="83"/>
      <c r="C69" s="83"/>
      <c r="D69" s="83"/>
      <c r="E69" s="83"/>
      <c r="F69" s="83"/>
      <c r="G69" s="83"/>
    </row>
    <row r="70" spans="1:7" x14ac:dyDescent="0.3">
      <c r="A70" s="18">
        <v>66</v>
      </c>
      <c r="B70" s="84"/>
      <c r="C70" s="84"/>
      <c r="D70" s="84"/>
      <c r="E70" s="84"/>
      <c r="F70" s="84"/>
      <c r="G70" s="84"/>
    </row>
    <row r="71" spans="1:7" x14ac:dyDescent="0.3">
      <c r="A71" s="82">
        <v>67</v>
      </c>
      <c r="B71" s="83"/>
      <c r="C71" s="83"/>
      <c r="D71" s="83"/>
      <c r="E71" s="83"/>
      <c r="F71" s="83"/>
      <c r="G71" s="83"/>
    </row>
    <row r="72" spans="1:7" x14ac:dyDescent="0.3">
      <c r="A72" s="18">
        <v>68</v>
      </c>
      <c r="B72" s="84"/>
      <c r="C72" s="84"/>
      <c r="D72" s="84"/>
      <c r="E72" s="84"/>
      <c r="F72" s="84"/>
      <c r="G72" s="84"/>
    </row>
    <row r="73" spans="1:7" x14ac:dyDescent="0.3">
      <c r="A73" s="82">
        <v>69</v>
      </c>
      <c r="B73" s="83"/>
      <c r="C73" s="83"/>
      <c r="D73" s="83"/>
      <c r="E73" s="83"/>
      <c r="F73" s="83"/>
      <c r="G73" s="83"/>
    </row>
    <row r="74" spans="1:7" x14ac:dyDescent="0.3">
      <c r="A74" s="18">
        <v>70</v>
      </c>
      <c r="B74" s="84"/>
      <c r="C74" s="84"/>
      <c r="D74" s="84"/>
      <c r="E74" s="84"/>
      <c r="F74" s="84"/>
      <c r="G74" s="84"/>
    </row>
    <row r="75" spans="1:7" x14ac:dyDescent="0.3">
      <c r="A75" s="82">
        <v>71</v>
      </c>
      <c r="B75" s="83"/>
      <c r="C75" s="83"/>
      <c r="D75" s="83"/>
      <c r="E75" s="83"/>
      <c r="F75" s="83"/>
      <c r="G75" s="83"/>
    </row>
    <row r="76" spans="1:7" x14ac:dyDescent="0.3">
      <c r="A76" s="18">
        <v>72</v>
      </c>
      <c r="B76" s="84"/>
      <c r="C76" s="84"/>
      <c r="D76" s="84"/>
      <c r="E76" s="84"/>
      <c r="F76" s="84"/>
      <c r="G76" s="84"/>
    </row>
    <row r="77" spans="1:7" x14ac:dyDescent="0.3">
      <c r="A77" s="82">
        <v>73</v>
      </c>
      <c r="B77" s="83"/>
      <c r="C77" s="83"/>
      <c r="D77" s="83"/>
      <c r="E77" s="83"/>
      <c r="F77" s="83"/>
      <c r="G77" s="83"/>
    </row>
    <row r="78" spans="1:7" x14ac:dyDescent="0.3">
      <c r="A78" s="18">
        <v>74</v>
      </c>
      <c r="B78" s="84"/>
      <c r="C78" s="84"/>
      <c r="D78" s="84"/>
      <c r="E78" s="84"/>
      <c r="F78" s="84"/>
      <c r="G78" s="84"/>
    </row>
    <row r="79" spans="1:7" x14ac:dyDescent="0.3">
      <c r="A79" s="82">
        <v>75</v>
      </c>
      <c r="B79" s="83"/>
      <c r="C79" s="83"/>
      <c r="D79" s="83"/>
      <c r="E79" s="83"/>
      <c r="F79" s="83"/>
      <c r="G79" s="83"/>
    </row>
    <row r="80" spans="1:7" x14ac:dyDescent="0.3">
      <c r="A80" s="18">
        <v>76</v>
      </c>
      <c r="B80" s="84"/>
      <c r="C80" s="84"/>
      <c r="D80" s="84"/>
      <c r="E80" s="84"/>
      <c r="F80" s="84"/>
      <c r="G80" s="84"/>
    </row>
    <row r="81" spans="1:7" x14ac:dyDescent="0.3">
      <c r="A81" s="82">
        <v>77</v>
      </c>
      <c r="B81" s="83"/>
      <c r="C81" s="83"/>
      <c r="D81" s="83"/>
      <c r="E81" s="83"/>
      <c r="F81" s="83"/>
      <c r="G81" s="83"/>
    </row>
    <row r="82" spans="1:7" x14ac:dyDescent="0.3">
      <c r="A82" s="18">
        <v>78</v>
      </c>
      <c r="B82" s="84"/>
      <c r="C82" s="84"/>
      <c r="D82" s="84"/>
      <c r="E82" s="84"/>
      <c r="F82" s="84"/>
      <c r="G82" s="84"/>
    </row>
    <row r="83" spans="1:7" x14ac:dyDescent="0.3">
      <c r="A83" s="82">
        <v>79</v>
      </c>
      <c r="B83" s="83"/>
      <c r="C83" s="83"/>
      <c r="D83" s="83"/>
      <c r="E83" s="83"/>
      <c r="F83" s="83"/>
      <c r="G83" s="83"/>
    </row>
    <row r="84" spans="1:7" x14ac:dyDescent="0.3">
      <c r="A84" s="18">
        <v>80</v>
      </c>
      <c r="B84" s="84"/>
      <c r="C84" s="84"/>
      <c r="D84" s="84"/>
      <c r="E84" s="84"/>
      <c r="F84" s="84"/>
      <c r="G84" s="84"/>
    </row>
    <row r="85" spans="1:7" x14ac:dyDescent="0.3">
      <c r="A85" s="82">
        <v>81</v>
      </c>
      <c r="B85" s="83"/>
      <c r="C85" s="83"/>
      <c r="D85" s="83"/>
      <c r="E85" s="83"/>
      <c r="F85" s="83"/>
      <c r="G85" s="83"/>
    </row>
    <row r="86" spans="1:7" x14ac:dyDescent="0.3">
      <c r="A86" s="18">
        <v>82</v>
      </c>
      <c r="B86" s="84"/>
      <c r="C86" s="84"/>
      <c r="D86" s="84"/>
      <c r="E86" s="84"/>
      <c r="F86" s="84"/>
      <c r="G86" s="84"/>
    </row>
    <row r="87" spans="1:7" x14ac:dyDescent="0.3">
      <c r="A87" s="82">
        <v>83</v>
      </c>
      <c r="B87" s="83"/>
      <c r="C87" s="83"/>
      <c r="D87" s="83"/>
      <c r="E87" s="83"/>
      <c r="F87" s="83"/>
      <c r="G87" s="83"/>
    </row>
    <row r="88" spans="1:7" x14ac:dyDescent="0.3">
      <c r="A88" s="18">
        <v>84</v>
      </c>
      <c r="B88" s="84"/>
      <c r="C88" s="84"/>
      <c r="D88" s="84"/>
      <c r="E88" s="84"/>
      <c r="F88" s="84"/>
      <c r="G88" s="84"/>
    </row>
    <row r="89" spans="1:7" x14ac:dyDescent="0.3">
      <c r="A89" s="82">
        <v>85</v>
      </c>
      <c r="B89" s="83"/>
      <c r="C89" s="83"/>
      <c r="D89" s="83"/>
      <c r="E89" s="83"/>
      <c r="F89" s="83"/>
      <c r="G89" s="83"/>
    </row>
    <row r="90" spans="1:7" x14ac:dyDescent="0.3">
      <c r="A90" s="18">
        <v>86</v>
      </c>
      <c r="B90" s="84"/>
      <c r="C90" s="84"/>
      <c r="D90" s="84"/>
      <c r="E90" s="84"/>
      <c r="F90" s="84"/>
      <c r="G90" s="84"/>
    </row>
    <row r="91" spans="1:7" x14ac:dyDescent="0.3">
      <c r="A91" s="82">
        <v>87</v>
      </c>
      <c r="B91" s="83"/>
      <c r="C91" s="83"/>
      <c r="D91" s="83"/>
      <c r="E91" s="83"/>
      <c r="F91" s="83"/>
      <c r="G91" s="83"/>
    </row>
    <row r="92" spans="1:7" x14ac:dyDescent="0.3">
      <c r="A92" s="18">
        <v>88</v>
      </c>
      <c r="B92" s="84"/>
      <c r="C92" s="84"/>
      <c r="D92" s="84"/>
      <c r="E92" s="84"/>
      <c r="F92" s="84"/>
      <c r="G92" s="84"/>
    </row>
    <row r="93" spans="1:7" x14ac:dyDescent="0.3">
      <c r="A93" s="82">
        <v>89</v>
      </c>
      <c r="B93" s="83"/>
      <c r="C93" s="83"/>
      <c r="D93" s="83"/>
      <c r="E93" s="83"/>
      <c r="F93" s="83"/>
      <c r="G93" s="83"/>
    </row>
    <row r="94" spans="1:7" x14ac:dyDescent="0.3">
      <c r="A94" s="18">
        <v>90</v>
      </c>
      <c r="B94" s="84"/>
      <c r="C94" s="84"/>
      <c r="D94" s="84"/>
      <c r="E94" s="84"/>
      <c r="F94" s="84"/>
      <c r="G94" s="84"/>
    </row>
    <row r="95" spans="1:7" x14ac:dyDescent="0.3">
      <c r="A95" s="82">
        <v>91</v>
      </c>
      <c r="B95" s="83"/>
      <c r="C95" s="83"/>
      <c r="D95" s="83"/>
      <c r="E95" s="83"/>
      <c r="F95" s="83"/>
      <c r="G95" s="83"/>
    </row>
    <row r="96" spans="1:7" x14ac:dyDescent="0.3">
      <c r="A96" s="18">
        <v>92</v>
      </c>
      <c r="B96" s="84"/>
      <c r="C96" s="84"/>
      <c r="D96" s="84"/>
      <c r="E96" s="84"/>
      <c r="F96" s="84"/>
      <c r="G96" s="84"/>
    </row>
    <row r="97" spans="1:7" x14ac:dyDescent="0.3">
      <c r="A97" s="82">
        <v>93</v>
      </c>
      <c r="B97" s="83"/>
      <c r="C97" s="83"/>
      <c r="D97" s="83"/>
      <c r="E97" s="83"/>
      <c r="F97" s="83"/>
      <c r="G97" s="83"/>
    </row>
    <row r="98" spans="1:7" x14ac:dyDescent="0.3">
      <c r="A98" s="18">
        <v>94</v>
      </c>
      <c r="B98" s="84"/>
      <c r="C98" s="84"/>
      <c r="D98" s="84"/>
      <c r="E98" s="84"/>
      <c r="F98" s="84"/>
      <c r="G98" s="84"/>
    </row>
    <row r="99" spans="1:7" x14ac:dyDescent="0.3">
      <c r="A99" s="82">
        <v>95</v>
      </c>
      <c r="B99" s="83"/>
      <c r="C99" s="83"/>
      <c r="D99" s="83"/>
      <c r="E99" s="83"/>
      <c r="F99" s="83"/>
      <c r="G99" s="83"/>
    </row>
    <row r="100" spans="1:7" x14ac:dyDescent="0.3">
      <c r="A100" s="18">
        <v>96</v>
      </c>
      <c r="B100" s="84"/>
      <c r="C100" s="84"/>
      <c r="D100" s="84"/>
      <c r="E100" s="84"/>
      <c r="F100" s="84"/>
      <c r="G100" s="84"/>
    </row>
    <row r="101" spans="1:7" x14ac:dyDescent="0.3">
      <c r="A101" s="82">
        <v>97</v>
      </c>
      <c r="B101" s="83"/>
      <c r="C101" s="83"/>
      <c r="D101" s="83"/>
      <c r="E101" s="83"/>
      <c r="F101" s="83"/>
      <c r="G101" s="83"/>
    </row>
    <row r="102" spans="1:7" x14ac:dyDescent="0.3">
      <c r="A102" s="18">
        <v>98</v>
      </c>
      <c r="B102" s="84"/>
      <c r="C102" s="84"/>
      <c r="D102" s="84"/>
      <c r="E102" s="84"/>
      <c r="F102" s="84"/>
      <c r="G102" s="84"/>
    </row>
    <row r="103" spans="1:7" x14ac:dyDescent="0.3">
      <c r="A103" s="82">
        <v>99</v>
      </c>
      <c r="B103" s="83"/>
      <c r="C103" s="83"/>
      <c r="D103" s="83"/>
      <c r="E103" s="83"/>
      <c r="F103" s="83"/>
      <c r="G103" s="83"/>
    </row>
    <row r="104" spans="1:7" x14ac:dyDescent="0.3">
      <c r="A104" s="18">
        <v>100</v>
      </c>
      <c r="B104" s="84"/>
      <c r="C104" s="84"/>
      <c r="D104" s="84"/>
      <c r="E104" s="84"/>
      <c r="F104" s="84"/>
      <c r="G104" s="8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4"/>
  <sheetViews>
    <sheetView zoomScaleNormal="100" zoomScalePageLayoutView="60" workbookViewId="0"/>
  </sheetViews>
  <sheetFormatPr defaultColWidth="9.21875" defaultRowHeight="14.4" x14ac:dyDescent="0.3"/>
  <cols>
    <col min="1" max="1" width="5.6640625" style="9" customWidth="1"/>
    <col min="2" max="2" width="24.88671875" style="9" customWidth="1"/>
    <col min="3" max="3" width="14.109375" style="9" customWidth="1"/>
    <col min="4" max="4" width="13.44140625" style="9" customWidth="1"/>
    <col min="5" max="5" width="17.33203125" style="9" customWidth="1"/>
    <col min="6" max="6" width="25" style="9" customWidth="1"/>
    <col min="7" max="7" width="12.109375" style="9" customWidth="1"/>
    <col min="8" max="64" width="9.21875" style="9"/>
  </cols>
  <sheetData>
    <row r="1" spans="1:7" x14ac:dyDescent="0.3">
      <c r="A1" s="75" t="s">
        <v>143</v>
      </c>
    </row>
    <row r="2" spans="1:7" x14ac:dyDescent="0.3">
      <c r="A2" s="75"/>
    </row>
    <row r="3" spans="1:7" ht="31.35" customHeight="1" x14ac:dyDescent="0.3">
      <c r="A3" s="80" t="s">
        <v>120</v>
      </c>
      <c r="B3" s="80" t="s">
        <v>144</v>
      </c>
      <c r="C3" s="80" t="s">
        <v>138</v>
      </c>
      <c r="D3" s="80" t="s">
        <v>139</v>
      </c>
      <c r="E3" s="80" t="s">
        <v>140</v>
      </c>
      <c r="F3" s="80" t="s">
        <v>141</v>
      </c>
      <c r="G3" s="80" t="s">
        <v>142</v>
      </c>
    </row>
    <row r="4" spans="1:7" x14ac:dyDescent="0.3">
      <c r="A4" s="81">
        <v>1</v>
      </c>
      <c r="B4" s="81">
        <v>2</v>
      </c>
      <c r="C4" s="81">
        <v>3</v>
      </c>
      <c r="D4" s="81">
        <v>4</v>
      </c>
      <c r="E4" s="81">
        <v>5</v>
      </c>
      <c r="F4" s="81">
        <v>6</v>
      </c>
      <c r="G4" s="81">
        <v>7</v>
      </c>
    </row>
    <row r="5" spans="1:7" x14ac:dyDescent="0.3">
      <c r="A5" s="82">
        <v>1</v>
      </c>
      <c r="B5" s="83"/>
      <c r="C5" s="83"/>
      <c r="D5" s="83"/>
      <c r="E5" s="83"/>
      <c r="F5" s="83"/>
      <c r="G5" s="83"/>
    </row>
    <row r="6" spans="1:7" x14ac:dyDescent="0.3">
      <c r="A6" s="18">
        <v>2</v>
      </c>
      <c r="B6" s="84"/>
      <c r="C6" s="84"/>
      <c r="D6" s="84"/>
      <c r="E6" s="84"/>
      <c r="F6" s="84"/>
      <c r="G6" s="84"/>
    </row>
    <row r="7" spans="1:7" x14ac:dyDescent="0.3">
      <c r="A7" s="18">
        <v>3</v>
      </c>
      <c r="B7" s="84"/>
      <c r="C7" s="84"/>
      <c r="D7" s="84"/>
      <c r="E7" s="84"/>
      <c r="F7" s="84"/>
      <c r="G7" s="84"/>
    </row>
    <row r="8" spans="1:7" x14ac:dyDescent="0.3">
      <c r="A8" s="18">
        <v>4</v>
      </c>
      <c r="B8" s="84"/>
      <c r="C8" s="84"/>
      <c r="D8" s="84"/>
      <c r="E8" s="84"/>
      <c r="F8" s="84"/>
      <c r="G8" s="84"/>
    </row>
    <row r="9" spans="1:7" x14ac:dyDescent="0.3">
      <c r="A9" s="18">
        <v>5</v>
      </c>
      <c r="B9" s="84"/>
      <c r="C9" s="84"/>
      <c r="D9" s="84"/>
      <c r="E9" s="84"/>
      <c r="F9" s="84"/>
      <c r="G9" s="84"/>
    </row>
    <row r="10" spans="1:7" x14ac:dyDescent="0.3">
      <c r="A10" s="18">
        <v>6</v>
      </c>
      <c r="B10" s="84"/>
      <c r="C10" s="84"/>
      <c r="D10" s="84"/>
      <c r="E10" s="84"/>
      <c r="F10" s="84"/>
      <c r="G10" s="84"/>
    </row>
    <row r="11" spans="1:7" x14ac:dyDescent="0.3">
      <c r="A11" s="18">
        <v>7</v>
      </c>
      <c r="B11" s="84"/>
      <c r="C11" s="84"/>
      <c r="D11" s="84"/>
      <c r="E11" s="84"/>
      <c r="F11" s="84"/>
      <c r="G11" s="84"/>
    </row>
    <row r="12" spans="1:7" x14ac:dyDescent="0.3">
      <c r="A12" s="18">
        <v>8</v>
      </c>
      <c r="B12" s="84"/>
      <c r="C12" s="84"/>
      <c r="D12" s="84"/>
      <c r="E12" s="84"/>
      <c r="F12" s="84"/>
      <c r="G12" s="84"/>
    </row>
    <row r="13" spans="1:7" x14ac:dyDescent="0.3">
      <c r="A13" s="18">
        <v>9</v>
      </c>
      <c r="B13" s="84"/>
      <c r="C13" s="84"/>
      <c r="D13" s="84"/>
      <c r="E13" s="84"/>
      <c r="F13" s="84"/>
      <c r="G13" s="84"/>
    </row>
    <row r="14" spans="1:7" x14ac:dyDescent="0.3">
      <c r="A14" s="18">
        <v>10</v>
      </c>
      <c r="B14" s="84"/>
      <c r="C14" s="84"/>
      <c r="D14" s="84"/>
      <c r="E14" s="84"/>
      <c r="F14" s="84"/>
      <c r="G14" s="84"/>
    </row>
    <row r="15" spans="1:7" x14ac:dyDescent="0.3">
      <c r="A15" s="18">
        <v>11</v>
      </c>
      <c r="B15" s="84"/>
      <c r="C15" s="84"/>
      <c r="D15" s="84"/>
      <c r="E15" s="84"/>
      <c r="F15" s="84"/>
      <c r="G15" s="84"/>
    </row>
    <row r="16" spans="1:7" x14ac:dyDescent="0.3">
      <c r="A16" s="18">
        <v>12</v>
      </c>
      <c r="B16" s="84"/>
      <c r="C16" s="84"/>
      <c r="D16" s="84"/>
      <c r="E16" s="84"/>
      <c r="F16" s="84"/>
      <c r="G16" s="84"/>
    </row>
    <row r="17" spans="1:7" x14ac:dyDescent="0.3">
      <c r="A17" s="18">
        <v>13</v>
      </c>
      <c r="B17" s="84"/>
      <c r="C17" s="84"/>
      <c r="D17" s="84"/>
      <c r="E17" s="84"/>
      <c r="F17" s="84"/>
      <c r="G17" s="84"/>
    </row>
    <row r="18" spans="1:7" x14ac:dyDescent="0.3">
      <c r="A18" s="18">
        <v>14</v>
      </c>
      <c r="B18" s="84"/>
      <c r="C18" s="84"/>
      <c r="D18" s="84"/>
      <c r="E18" s="84"/>
      <c r="F18" s="84"/>
      <c r="G18" s="84"/>
    </row>
    <row r="19" spans="1:7" x14ac:dyDescent="0.3">
      <c r="A19" s="18">
        <v>15</v>
      </c>
      <c r="B19" s="84"/>
      <c r="C19" s="84"/>
      <c r="D19" s="84"/>
      <c r="E19" s="84"/>
      <c r="F19" s="84"/>
      <c r="G19" s="84"/>
    </row>
    <row r="20" spans="1:7" x14ac:dyDescent="0.3">
      <c r="A20" s="18">
        <v>16</v>
      </c>
      <c r="B20" s="84"/>
      <c r="C20" s="84"/>
      <c r="D20" s="84"/>
      <c r="E20" s="84"/>
      <c r="F20" s="84"/>
      <c r="G20" s="84"/>
    </row>
    <row r="21" spans="1:7" x14ac:dyDescent="0.3">
      <c r="A21" s="18">
        <v>17</v>
      </c>
      <c r="B21" s="84"/>
      <c r="C21" s="84"/>
      <c r="D21" s="84"/>
      <c r="E21" s="84"/>
      <c r="F21" s="84"/>
      <c r="G21" s="84"/>
    </row>
    <row r="22" spans="1:7" x14ac:dyDescent="0.3">
      <c r="A22" s="18">
        <v>18</v>
      </c>
      <c r="B22" s="84"/>
      <c r="C22" s="84"/>
      <c r="D22" s="84"/>
      <c r="E22" s="84"/>
      <c r="F22" s="84"/>
      <c r="G22" s="84"/>
    </row>
    <row r="23" spans="1:7" x14ac:dyDescent="0.3">
      <c r="A23" s="18">
        <v>19</v>
      </c>
      <c r="B23" s="84"/>
      <c r="C23" s="84"/>
      <c r="D23" s="84"/>
      <c r="E23" s="84"/>
      <c r="F23" s="84"/>
      <c r="G23" s="84"/>
    </row>
    <row r="24" spans="1:7" x14ac:dyDescent="0.3">
      <c r="A24" s="18">
        <v>20</v>
      </c>
      <c r="B24" s="84"/>
      <c r="C24" s="84"/>
      <c r="D24" s="84"/>
      <c r="E24" s="84"/>
      <c r="F24" s="84"/>
      <c r="G24" s="84"/>
    </row>
    <row r="25" spans="1:7" x14ac:dyDescent="0.3">
      <c r="A25" s="18">
        <v>21</v>
      </c>
      <c r="B25" s="84"/>
      <c r="C25" s="84"/>
      <c r="D25" s="84"/>
      <c r="E25" s="84"/>
      <c r="F25" s="84"/>
      <c r="G25" s="84"/>
    </row>
    <row r="26" spans="1:7" x14ac:dyDescent="0.3">
      <c r="A26" s="18">
        <v>22</v>
      </c>
      <c r="B26" s="84"/>
      <c r="C26" s="84"/>
      <c r="D26" s="84"/>
      <c r="E26" s="84"/>
      <c r="F26" s="84"/>
      <c r="G26" s="84"/>
    </row>
    <row r="27" spans="1:7" x14ac:dyDescent="0.3">
      <c r="A27" s="18">
        <v>23</v>
      </c>
      <c r="B27" s="84"/>
      <c r="C27" s="84"/>
      <c r="D27" s="84"/>
      <c r="E27" s="84"/>
      <c r="F27" s="84"/>
      <c r="G27" s="84"/>
    </row>
    <row r="28" spans="1:7" x14ac:dyDescent="0.3">
      <c r="A28" s="18">
        <v>24</v>
      </c>
      <c r="B28" s="84"/>
      <c r="C28" s="84"/>
      <c r="D28" s="84"/>
      <c r="E28" s="84"/>
      <c r="F28" s="84"/>
      <c r="G28" s="84"/>
    </row>
    <row r="29" spans="1:7" x14ac:dyDescent="0.3">
      <c r="A29" s="18">
        <v>25</v>
      </c>
      <c r="B29" s="84"/>
      <c r="C29" s="84"/>
      <c r="D29" s="84"/>
      <c r="E29" s="84"/>
      <c r="F29" s="84"/>
      <c r="G29" s="84"/>
    </row>
    <row r="30" spans="1:7" x14ac:dyDescent="0.3">
      <c r="A30" s="18">
        <v>26</v>
      </c>
      <c r="B30" s="84"/>
      <c r="C30" s="84"/>
      <c r="D30" s="84"/>
      <c r="E30" s="84"/>
      <c r="F30" s="84"/>
      <c r="G30" s="84"/>
    </row>
    <row r="31" spans="1:7" x14ac:dyDescent="0.3">
      <c r="A31" s="18">
        <v>27</v>
      </c>
      <c r="B31" s="84"/>
      <c r="C31" s="84"/>
      <c r="D31" s="84"/>
      <c r="E31" s="84"/>
      <c r="F31" s="84"/>
      <c r="G31" s="84"/>
    </row>
    <row r="32" spans="1:7" x14ac:dyDescent="0.3">
      <c r="A32" s="18">
        <v>28</v>
      </c>
      <c r="B32" s="84"/>
      <c r="C32" s="84"/>
      <c r="D32" s="84"/>
      <c r="E32" s="84"/>
      <c r="F32" s="84"/>
      <c r="G32" s="84"/>
    </row>
    <row r="33" spans="1:7" x14ac:dyDescent="0.3">
      <c r="A33" s="18">
        <v>29</v>
      </c>
      <c r="B33" s="84"/>
      <c r="C33" s="84"/>
      <c r="D33" s="84"/>
      <c r="E33" s="84"/>
      <c r="F33" s="84"/>
      <c r="G33" s="84"/>
    </row>
    <row r="34" spans="1:7" x14ac:dyDescent="0.3">
      <c r="A34" s="18">
        <v>30</v>
      </c>
      <c r="B34" s="84"/>
      <c r="C34" s="84"/>
      <c r="D34" s="84"/>
      <c r="E34" s="84"/>
      <c r="F34" s="84"/>
      <c r="G34" s="84"/>
    </row>
    <row r="35" spans="1:7" x14ac:dyDescent="0.3">
      <c r="A35" s="18">
        <v>31</v>
      </c>
      <c r="B35" s="84"/>
      <c r="C35" s="84"/>
      <c r="D35" s="84"/>
      <c r="E35" s="84"/>
      <c r="F35" s="84"/>
      <c r="G35" s="84"/>
    </row>
    <row r="36" spans="1:7" x14ac:dyDescent="0.3">
      <c r="A36" s="18">
        <v>32</v>
      </c>
      <c r="B36" s="84"/>
      <c r="C36" s="84"/>
      <c r="D36" s="84"/>
      <c r="E36" s="84"/>
      <c r="F36" s="84"/>
      <c r="G36" s="84"/>
    </row>
    <row r="37" spans="1:7" x14ac:dyDescent="0.3">
      <c r="A37" s="18">
        <v>33</v>
      </c>
      <c r="B37" s="84"/>
      <c r="C37" s="84"/>
      <c r="D37" s="84"/>
      <c r="E37" s="84"/>
      <c r="F37" s="84"/>
      <c r="G37" s="84"/>
    </row>
    <row r="38" spans="1:7" x14ac:dyDescent="0.3">
      <c r="A38" s="18">
        <v>34</v>
      </c>
      <c r="B38" s="84"/>
      <c r="C38" s="84"/>
      <c r="D38" s="84"/>
      <c r="E38" s="84"/>
      <c r="F38" s="84"/>
      <c r="G38" s="84"/>
    </row>
    <row r="39" spans="1:7" x14ac:dyDescent="0.3">
      <c r="A39" s="18">
        <v>35</v>
      </c>
      <c r="B39" s="84"/>
      <c r="C39" s="84"/>
      <c r="D39" s="84"/>
      <c r="E39" s="84"/>
      <c r="F39" s="84"/>
      <c r="G39" s="84"/>
    </row>
    <row r="40" spans="1:7" x14ac:dyDescent="0.3">
      <c r="A40" s="18">
        <v>36</v>
      </c>
      <c r="B40" s="84"/>
      <c r="C40" s="84"/>
      <c r="D40" s="84"/>
      <c r="E40" s="84"/>
      <c r="F40" s="84"/>
      <c r="G40" s="84"/>
    </row>
    <row r="41" spans="1:7" x14ac:dyDescent="0.3">
      <c r="A41" s="18">
        <v>37</v>
      </c>
      <c r="B41" s="84"/>
      <c r="C41" s="84"/>
      <c r="D41" s="84"/>
      <c r="E41" s="84"/>
      <c r="F41" s="84"/>
      <c r="G41" s="84"/>
    </row>
    <row r="42" spans="1:7" x14ac:dyDescent="0.3">
      <c r="A42" s="18">
        <v>38</v>
      </c>
      <c r="B42" s="84"/>
      <c r="C42" s="84"/>
      <c r="D42" s="84"/>
      <c r="E42" s="84"/>
      <c r="F42" s="84"/>
      <c r="G42" s="84"/>
    </row>
    <row r="43" spans="1:7" x14ac:dyDescent="0.3">
      <c r="A43" s="18">
        <v>39</v>
      </c>
      <c r="B43" s="84"/>
      <c r="C43" s="84"/>
      <c r="D43" s="84"/>
      <c r="E43" s="84"/>
      <c r="F43" s="84"/>
      <c r="G43" s="84"/>
    </row>
    <row r="44" spans="1:7" x14ac:dyDescent="0.3">
      <c r="A44" s="18">
        <v>40</v>
      </c>
      <c r="B44" s="84"/>
      <c r="C44" s="84"/>
      <c r="D44" s="84"/>
      <c r="E44" s="84"/>
      <c r="F44" s="84"/>
      <c r="G44" s="84"/>
    </row>
    <row r="45" spans="1:7" x14ac:dyDescent="0.3">
      <c r="A45" s="18">
        <v>41</v>
      </c>
      <c r="B45" s="84"/>
      <c r="C45" s="84"/>
      <c r="D45" s="84"/>
      <c r="E45" s="84"/>
      <c r="F45" s="84"/>
      <c r="G45" s="84"/>
    </row>
    <row r="46" spans="1:7" x14ac:dyDescent="0.3">
      <c r="A46" s="18">
        <v>42</v>
      </c>
      <c r="B46" s="84"/>
      <c r="C46" s="84"/>
      <c r="D46" s="84"/>
      <c r="E46" s="84"/>
      <c r="F46" s="84"/>
      <c r="G46" s="84"/>
    </row>
    <row r="47" spans="1:7" x14ac:dyDescent="0.3">
      <c r="A47" s="18">
        <v>43</v>
      </c>
      <c r="B47" s="84"/>
      <c r="C47" s="84"/>
      <c r="D47" s="84"/>
      <c r="E47" s="84"/>
      <c r="F47" s="84"/>
      <c r="G47" s="84"/>
    </row>
    <row r="48" spans="1:7" x14ac:dyDescent="0.3">
      <c r="A48" s="18">
        <v>44</v>
      </c>
      <c r="B48" s="84"/>
      <c r="C48" s="84"/>
      <c r="D48" s="84"/>
      <c r="E48" s="84"/>
      <c r="F48" s="84"/>
      <c r="G48" s="84"/>
    </row>
    <row r="49" spans="1:7" x14ac:dyDescent="0.3">
      <c r="A49" s="18">
        <v>45</v>
      </c>
      <c r="B49" s="84"/>
      <c r="C49" s="84"/>
      <c r="D49" s="84"/>
      <c r="E49" s="84"/>
      <c r="F49" s="84"/>
      <c r="G49" s="84"/>
    </row>
    <row r="50" spans="1:7" x14ac:dyDescent="0.3">
      <c r="A50" s="18">
        <v>46</v>
      </c>
      <c r="B50" s="84"/>
      <c r="C50" s="84"/>
      <c r="D50" s="84"/>
      <c r="E50" s="84"/>
      <c r="F50" s="84"/>
      <c r="G50" s="84"/>
    </row>
    <row r="51" spans="1:7" x14ac:dyDescent="0.3">
      <c r="A51" s="18">
        <v>47</v>
      </c>
      <c r="B51" s="84"/>
      <c r="C51" s="84"/>
      <c r="D51" s="84"/>
      <c r="E51" s="84"/>
      <c r="F51" s="84"/>
      <c r="G51" s="84"/>
    </row>
    <row r="52" spans="1:7" x14ac:dyDescent="0.3">
      <c r="A52" s="18">
        <v>48</v>
      </c>
      <c r="B52" s="84"/>
      <c r="C52" s="84"/>
      <c r="D52" s="84"/>
      <c r="E52" s="84"/>
      <c r="F52" s="84"/>
      <c r="G52" s="84"/>
    </row>
    <row r="53" spans="1:7" x14ac:dyDescent="0.3">
      <c r="A53" s="18">
        <v>49</v>
      </c>
      <c r="B53" s="84"/>
      <c r="C53" s="84"/>
      <c r="D53" s="84"/>
      <c r="E53" s="84"/>
      <c r="F53" s="84"/>
      <c r="G53" s="84"/>
    </row>
    <row r="54" spans="1:7" x14ac:dyDescent="0.3">
      <c r="A54" s="18">
        <v>50</v>
      </c>
      <c r="B54" s="84"/>
      <c r="C54" s="84"/>
      <c r="D54" s="84"/>
      <c r="E54" s="84"/>
      <c r="F54" s="84"/>
      <c r="G54" s="8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0"/>
  <sheetViews>
    <sheetView zoomScaleNormal="100" zoomScalePageLayoutView="60" workbookViewId="0">
      <selection activeCell="J19" sqref="J19"/>
    </sheetView>
  </sheetViews>
  <sheetFormatPr defaultColWidth="9.21875" defaultRowHeight="14.4" x14ac:dyDescent="0.3"/>
  <cols>
    <col min="1" max="1" width="5.6640625" style="9" customWidth="1"/>
    <col min="2" max="2" width="9.5546875" style="9" customWidth="1"/>
    <col min="3" max="3" width="12.6640625" style="9" customWidth="1"/>
    <col min="4" max="6" width="11.5546875" style="9" customWidth="1"/>
    <col min="7" max="64" width="9.21875" style="9"/>
  </cols>
  <sheetData>
    <row r="1" spans="1:6" x14ac:dyDescent="0.3">
      <c r="A1" s="75" t="s">
        <v>145</v>
      </c>
    </row>
    <row r="2" spans="1:6" x14ac:dyDescent="0.3">
      <c r="A2" s="75"/>
    </row>
    <row r="3" spans="1:6" ht="21" customHeight="1" x14ac:dyDescent="0.3">
      <c r="A3" s="1" t="s">
        <v>120</v>
      </c>
      <c r="B3" s="1" t="s">
        <v>146</v>
      </c>
      <c r="C3" s="1" t="s">
        <v>125</v>
      </c>
      <c r="D3" s="1" t="s">
        <v>147</v>
      </c>
      <c r="E3" s="1"/>
      <c r="F3" s="1"/>
    </row>
    <row r="4" spans="1:6" ht="21" customHeight="1" x14ac:dyDescent="0.3">
      <c r="A4" s="1"/>
      <c r="B4" s="1"/>
      <c r="C4" s="1"/>
      <c r="D4" s="80" t="s">
        <v>148</v>
      </c>
      <c r="E4" s="80" t="s">
        <v>149</v>
      </c>
      <c r="F4" s="80" t="s">
        <v>150</v>
      </c>
    </row>
    <row r="5" spans="1:6" x14ac:dyDescent="0.3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1">
        <v>6</v>
      </c>
    </row>
    <row r="6" spans="1:6" x14ac:dyDescent="0.3">
      <c r="A6" s="82">
        <v>1</v>
      </c>
      <c r="B6" s="82" t="s">
        <v>128</v>
      </c>
      <c r="C6" s="83">
        <v>0</v>
      </c>
      <c r="D6" s="83">
        <v>0</v>
      </c>
      <c r="E6" s="83">
        <v>0</v>
      </c>
      <c r="F6" s="83">
        <v>0</v>
      </c>
    </row>
    <row r="7" spans="1:6" x14ac:dyDescent="0.3">
      <c r="A7" s="18">
        <v>2</v>
      </c>
      <c r="B7" s="18" t="s">
        <v>131</v>
      </c>
      <c r="C7" s="84">
        <v>0</v>
      </c>
      <c r="D7" s="84">
        <v>0</v>
      </c>
      <c r="E7" s="84">
        <v>0</v>
      </c>
      <c r="F7" s="84">
        <v>0</v>
      </c>
    </row>
    <row r="8" spans="1:6" x14ac:dyDescent="0.3">
      <c r="A8" s="18">
        <v>3</v>
      </c>
      <c r="B8" s="18" t="s">
        <v>132</v>
      </c>
      <c r="C8" s="84">
        <v>0</v>
      </c>
      <c r="D8" s="84">
        <v>0</v>
      </c>
      <c r="E8" s="84">
        <v>0</v>
      </c>
      <c r="F8" s="84">
        <v>0</v>
      </c>
    </row>
    <row r="9" spans="1:6" x14ac:dyDescent="0.3">
      <c r="A9" s="75"/>
    </row>
    <row r="10" spans="1:6" x14ac:dyDescent="0.3">
      <c r="A10" s="75"/>
    </row>
  </sheetData>
  <mergeCells count="4">
    <mergeCell ref="A3:A4"/>
    <mergeCell ref="B3:B4"/>
    <mergeCell ref="C3:C4"/>
    <mergeCell ref="D3:F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zoomScaleNormal="100" zoomScalePageLayoutView="60" workbookViewId="0">
      <selection activeCell="K22" sqref="K22"/>
    </sheetView>
  </sheetViews>
  <sheetFormatPr defaultColWidth="9.109375" defaultRowHeight="14.4" x14ac:dyDescent="0.3"/>
  <cols>
    <col min="1" max="11" width="10.21875" style="9" customWidth="1"/>
    <col min="12" max="64" width="8.5546875" customWidth="1"/>
  </cols>
  <sheetData>
    <row r="1" spans="1:11" x14ac:dyDescent="0.3">
      <c r="A1" s="9" t="s">
        <v>151</v>
      </c>
    </row>
    <row r="3" spans="1:11" ht="28.35" customHeight="1" x14ac:dyDescent="0.3">
      <c r="A3" s="1" t="s">
        <v>152</v>
      </c>
      <c r="B3" s="1" t="s">
        <v>153</v>
      </c>
      <c r="C3" s="1" t="s">
        <v>154</v>
      </c>
      <c r="D3" s="1"/>
      <c r="E3" s="1"/>
      <c r="F3" s="1"/>
      <c r="G3" s="1"/>
      <c r="H3" s="1"/>
      <c r="I3" s="1"/>
      <c r="J3" s="1" t="s">
        <v>155</v>
      </c>
      <c r="K3" s="1" t="s">
        <v>156</v>
      </c>
    </row>
    <row r="4" spans="1:11" ht="28.35" customHeight="1" x14ac:dyDescent="0.3">
      <c r="A4" s="1"/>
      <c r="B4" s="1"/>
      <c r="C4" s="80" t="s">
        <v>157</v>
      </c>
      <c r="D4" s="80" t="s">
        <v>158</v>
      </c>
      <c r="E4" s="80" t="s">
        <v>159</v>
      </c>
      <c r="F4" s="80" t="s">
        <v>160</v>
      </c>
      <c r="G4" s="80" t="s">
        <v>161</v>
      </c>
      <c r="H4" s="80" t="s">
        <v>162</v>
      </c>
      <c r="I4" s="80" t="s">
        <v>163</v>
      </c>
      <c r="J4" s="1"/>
      <c r="K4" s="1"/>
    </row>
    <row r="5" spans="1:11" x14ac:dyDescent="0.3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1">
        <v>6</v>
      </c>
      <c r="G5" s="81">
        <v>7</v>
      </c>
      <c r="H5" s="81">
        <v>8</v>
      </c>
      <c r="I5" s="81">
        <v>9</v>
      </c>
      <c r="J5" s="81">
        <v>10</v>
      </c>
      <c r="K5" s="81">
        <v>11</v>
      </c>
    </row>
    <row r="6" spans="1:11" x14ac:dyDescent="0.3">
      <c r="A6" s="18" t="s">
        <v>164</v>
      </c>
      <c r="B6" s="85">
        <v>0</v>
      </c>
      <c r="C6" s="85">
        <v>0</v>
      </c>
      <c r="D6" s="85">
        <v>0</v>
      </c>
      <c r="E6" s="85">
        <v>0</v>
      </c>
      <c r="F6" s="85">
        <v>18</v>
      </c>
      <c r="G6" s="85">
        <v>32</v>
      </c>
      <c r="H6" s="85">
        <v>8</v>
      </c>
      <c r="I6" s="85">
        <v>2</v>
      </c>
      <c r="J6" s="85">
        <v>60</v>
      </c>
      <c r="K6" s="85">
        <v>4.25</v>
      </c>
    </row>
    <row r="7" spans="1:11" x14ac:dyDescent="0.3">
      <c r="A7" s="18" t="s">
        <v>165</v>
      </c>
      <c r="B7" s="85">
        <v>0</v>
      </c>
      <c r="C7" s="85">
        <v>0</v>
      </c>
      <c r="D7" s="85">
        <v>0</v>
      </c>
      <c r="E7" s="85">
        <v>0</v>
      </c>
      <c r="F7" s="85">
        <v>0</v>
      </c>
      <c r="G7" s="85">
        <v>9</v>
      </c>
      <c r="H7" s="85">
        <v>34</v>
      </c>
      <c r="I7" s="85">
        <v>7</v>
      </c>
      <c r="J7" s="85">
        <v>56</v>
      </c>
      <c r="K7" s="85">
        <v>4.8571428571428603</v>
      </c>
    </row>
    <row r="8" spans="1:11" x14ac:dyDescent="0.3">
      <c r="A8" s="18" t="s">
        <v>166</v>
      </c>
      <c r="B8" s="85">
        <v>0</v>
      </c>
      <c r="C8" s="85">
        <v>0</v>
      </c>
      <c r="D8" s="85">
        <v>0</v>
      </c>
      <c r="E8" s="85">
        <v>0</v>
      </c>
      <c r="F8" s="85">
        <v>0</v>
      </c>
      <c r="G8" s="85">
        <v>0</v>
      </c>
      <c r="H8" s="85">
        <v>35</v>
      </c>
      <c r="I8" s="85">
        <v>21</v>
      </c>
      <c r="J8" s="85">
        <v>60</v>
      </c>
      <c r="K8" s="85">
        <v>4.2750000000000004</v>
      </c>
    </row>
    <row r="9" spans="1:11" x14ac:dyDescent="0.3">
      <c r="A9" s="18" t="s">
        <v>167</v>
      </c>
      <c r="B9" s="85">
        <v>0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12</v>
      </c>
      <c r="J9" s="85">
        <v>51</v>
      </c>
      <c r="K9" s="85">
        <v>4.5098039215686301</v>
      </c>
    </row>
    <row r="10" spans="1:11" x14ac:dyDescent="0.3">
      <c r="A10" s="18" t="s">
        <v>128</v>
      </c>
      <c r="B10" s="85">
        <v>0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1</v>
      </c>
      <c r="K10" s="85">
        <v>4</v>
      </c>
    </row>
    <row r="11" spans="1:11" x14ac:dyDescent="0.3">
      <c r="A11" s="18" t="s">
        <v>131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</row>
    <row r="12" spans="1:11" x14ac:dyDescent="0.3">
      <c r="A12" s="18" t="s">
        <v>132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</row>
    <row r="14" spans="1:11" x14ac:dyDescent="0.3">
      <c r="A14" s="86"/>
    </row>
    <row r="15" spans="1:11" ht="16.350000000000001" customHeight="1" x14ac:dyDescent="0.3">
      <c r="A15" s="86"/>
    </row>
    <row r="16" spans="1:11" ht="16.350000000000001" customHeight="1" x14ac:dyDescent="0.3">
      <c r="A16" s="86"/>
    </row>
    <row r="17" spans="1:1" x14ac:dyDescent="0.3">
      <c r="A17" s="86"/>
    </row>
    <row r="18" spans="1:1" x14ac:dyDescent="0.3">
      <c r="A18" s="86"/>
    </row>
  </sheetData>
  <mergeCells count="5">
    <mergeCell ref="A3:A4"/>
    <mergeCell ref="B3:B4"/>
    <mergeCell ref="C3:I3"/>
    <mergeCell ref="J3:J4"/>
    <mergeCell ref="K3:K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Penilaian</vt:lpstr>
      <vt:lpstr>Tabel 1a</vt:lpstr>
      <vt:lpstr>Tabel 1b</vt:lpstr>
      <vt:lpstr>Tabel 2a</vt:lpstr>
      <vt:lpstr>Tabel 2b</vt:lpstr>
      <vt:lpstr>Tabel 3a</vt:lpstr>
      <vt:lpstr>Tabel 3b</vt:lpstr>
      <vt:lpstr>Penilaian!Print_Area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Radon Dhelika</dc:creator>
  <dc:description/>
  <cp:lastModifiedBy>Purnama Faisal</cp:lastModifiedBy>
  <cp:revision>0</cp:revision>
  <cp:lastPrinted>2020-12-29T04:55:02Z</cp:lastPrinted>
  <dcterms:created xsi:type="dcterms:W3CDTF">2009-07-06T01:37:37Z</dcterms:created>
  <dcterms:modified xsi:type="dcterms:W3CDTF">2021-07-30T01:35:02Z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