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mc:AlternateContent xmlns:mc="http://schemas.openxmlformats.org/markup-compatibility/2006">
    <mc:Choice Requires="x15">
      <x15ac:absPath xmlns:x15ac="http://schemas.microsoft.com/office/spreadsheetml/2010/11/ac" url="D:\Akreditasi\Instrumen Akreditasi\LAM\LAM DIK\Sarjana\"/>
    </mc:Choice>
  </mc:AlternateContent>
  <xr:revisionPtr revIDLastSave="0" documentId="13_ncr:1_{51BE6D88-586E-49E8-B362-DBF8B4124012}" xr6:coauthVersionLast="47" xr6:coauthVersionMax="47" xr10:uidLastSave="{00000000-0000-0000-0000-000000000000}"/>
  <bookViews>
    <workbookView xWindow="-105" yWindow="0" windowWidth="14610" windowHeight="15585" tabRatio="839" activeTab="1" xr2:uid="{00000000-000D-0000-FFFF-FFFF00000000}"/>
  </bookViews>
  <sheets>
    <sheet name="Menu" sheetId="14" r:id="rId1"/>
    <sheet name="Kertas Kerja" sheetId="11" r:id="rId2"/>
    <sheet name="Lap AK Individual" sheetId="52" r:id="rId3"/>
    <sheet name="Sheet1" sheetId="53" r:id="rId4"/>
  </sheets>
  <definedNames>
    <definedName name="diploma" localSheetId="2">#REF!</definedName>
    <definedName name="diploma">#REF!</definedName>
    <definedName name="_xlnm.Print_Area" localSheetId="2">'Lap AK Individual'!$A$1:$E$96</definedName>
    <definedName name="_xlnm.Print_Titles" localSheetId="2">'Lap AK Individual'!$12:$12</definedName>
  </definedNames>
  <calcPr calcId="181029"/>
</workbook>
</file>

<file path=xl/calcChain.xml><?xml version="1.0" encoding="utf-8"?>
<calcChain xmlns="http://schemas.openxmlformats.org/spreadsheetml/2006/main">
  <c r="F63" i="11" l="1"/>
  <c r="I58" i="11"/>
  <c r="I57" i="11"/>
  <c r="I59" i="11"/>
  <c r="I60" i="11"/>
  <c r="I61" i="11"/>
  <c r="I62" i="11"/>
  <c r="G61" i="11"/>
  <c r="G57" i="11"/>
  <c r="G58" i="11"/>
  <c r="G59" i="11"/>
  <c r="G60" i="11"/>
  <c r="I56" i="11"/>
  <c r="I47" i="11"/>
  <c r="I48" i="11"/>
  <c r="I49" i="11"/>
  <c r="I50" i="11"/>
  <c r="I51" i="11"/>
  <c r="I52" i="11"/>
  <c r="I53" i="11"/>
  <c r="I41" i="11"/>
  <c r="I42" i="11"/>
  <c r="I43" i="11"/>
  <c r="I44" i="11"/>
  <c r="I45" i="11"/>
  <c r="I46" i="11"/>
  <c r="G53" i="11"/>
  <c r="G48" i="11"/>
  <c r="G49" i="11"/>
  <c r="G50" i="11"/>
  <c r="G51" i="11"/>
  <c r="G52" i="11"/>
  <c r="G41" i="11"/>
  <c r="G42" i="11"/>
  <c r="G43" i="11"/>
  <c r="G44" i="11"/>
  <c r="G45" i="11"/>
  <c r="G46" i="11"/>
  <c r="G47" i="11"/>
  <c r="I40" i="11"/>
  <c r="F54" i="11" s="1"/>
  <c r="G35" i="11"/>
  <c r="G36" i="11"/>
  <c r="G37" i="11"/>
  <c r="I35" i="11"/>
  <c r="I36" i="11"/>
  <c r="I37" i="11"/>
  <c r="I34" i="11"/>
  <c r="I27" i="11"/>
  <c r="I28" i="11"/>
  <c r="I29" i="11"/>
  <c r="I30" i="11"/>
  <c r="I31" i="11"/>
  <c r="I26" i="11"/>
  <c r="G27" i="11"/>
  <c r="G28" i="11"/>
  <c r="G29" i="11"/>
  <c r="G30" i="11"/>
  <c r="G31" i="11"/>
  <c r="I19" i="11"/>
  <c r="I22" i="11"/>
  <c r="I23" i="11"/>
  <c r="I20" i="11"/>
  <c r="I21" i="11"/>
  <c r="G23" i="11"/>
  <c r="G20" i="11"/>
  <c r="G21" i="11"/>
  <c r="G22" i="11"/>
  <c r="G14" i="11"/>
  <c r="G15" i="11"/>
  <c r="I13" i="11"/>
  <c r="I14" i="11"/>
  <c r="I15" i="11"/>
  <c r="I16" i="11"/>
  <c r="G13" i="11"/>
  <c r="I10" i="11"/>
  <c r="I11" i="11"/>
  <c r="I12" i="11"/>
  <c r="G10" i="11"/>
  <c r="G11" i="11"/>
  <c r="G12" i="11"/>
  <c r="G16" i="11"/>
  <c r="I9" i="11"/>
  <c r="I8" i="11"/>
  <c r="G9" i="11"/>
  <c r="F38" i="11" l="1"/>
  <c r="F24" i="11"/>
  <c r="F32" i="11"/>
  <c r="F17" i="11"/>
  <c r="D96" i="52" l="1"/>
  <c r="D89" i="52"/>
  <c r="D87" i="52"/>
  <c r="B87" i="52"/>
  <c r="D86" i="52"/>
  <c r="B86" i="52"/>
  <c r="D85" i="52"/>
  <c r="B85" i="52"/>
  <c r="D84" i="52"/>
  <c r="B84" i="52"/>
  <c r="D83" i="52"/>
  <c r="B83" i="52"/>
  <c r="E82" i="52"/>
  <c r="H82" i="52" s="1"/>
  <c r="D82" i="52"/>
  <c r="B82" i="52"/>
  <c r="E81" i="52"/>
  <c r="H81" i="52" s="1"/>
  <c r="D81" i="52"/>
  <c r="B81" i="52"/>
  <c r="D80" i="52"/>
  <c r="B80" i="52"/>
  <c r="D79" i="52"/>
  <c r="B79" i="52"/>
  <c r="D78" i="52"/>
  <c r="B78" i="52"/>
  <c r="D77" i="52"/>
  <c r="B77" i="52"/>
  <c r="D76" i="52"/>
  <c r="B76" i="52"/>
  <c r="D75" i="52"/>
  <c r="B75" i="52"/>
  <c r="D74" i="52"/>
  <c r="B74" i="52"/>
  <c r="D73" i="52"/>
  <c r="B73" i="52"/>
  <c r="D72" i="52"/>
  <c r="B72" i="52"/>
  <c r="D71" i="52"/>
  <c r="B71" i="52"/>
  <c r="D70" i="52"/>
  <c r="B70" i="52"/>
  <c r="D69" i="52"/>
  <c r="B69" i="52"/>
  <c r="D68" i="52"/>
  <c r="B68" i="52"/>
  <c r="D67" i="52"/>
  <c r="B67" i="52"/>
  <c r="D66" i="52"/>
  <c r="B66" i="52"/>
  <c r="E65" i="52"/>
  <c r="H65" i="52" s="1"/>
  <c r="D65" i="52"/>
  <c r="B65" i="52"/>
  <c r="D64" i="52"/>
  <c r="B64" i="52"/>
  <c r="D63" i="52"/>
  <c r="B63" i="52"/>
  <c r="D62" i="52"/>
  <c r="B62" i="52"/>
  <c r="D61" i="52"/>
  <c r="B61" i="52"/>
  <c r="D60" i="52"/>
  <c r="B60" i="52"/>
  <c r="D59" i="52"/>
  <c r="B59" i="52"/>
  <c r="D58" i="52"/>
  <c r="B58" i="52"/>
  <c r="D57" i="52"/>
  <c r="B57" i="52"/>
  <c r="D56" i="52"/>
  <c r="B56" i="52"/>
  <c r="D55" i="52"/>
  <c r="B55" i="52"/>
  <c r="D54" i="52"/>
  <c r="B54" i="52"/>
  <c r="D53" i="52"/>
  <c r="B53" i="52"/>
  <c r="D52" i="52"/>
  <c r="B52" i="52"/>
  <c r="D51" i="52"/>
  <c r="B51" i="52"/>
  <c r="D50" i="52"/>
  <c r="B50" i="52"/>
  <c r="D49" i="52"/>
  <c r="B49" i="52"/>
  <c r="D48" i="52"/>
  <c r="B48" i="52"/>
  <c r="D47" i="52"/>
  <c r="B47" i="52"/>
  <c r="D46" i="52"/>
  <c r="B46" i="52"/>
  <c r="D45" i="52"/>
  <c r="B45" i="52"/>
  <c r="D44" i="52"/>
  <c r="B44" i="52"/>
  <c r="E43" i="52"/>
  <c r="H43" i="52" s="1"/>
  <c r="D43" i="52"/>
  <c r="B43" i="52"/>
  <c r="D42" i="52"/>
  <c r="B42" i="52"/>
  <c r="D41" i="52"/>
  <c r="B41" i="52"/>
  <c r="D40" i="52"/>
  <c r="B40" i="52"/>
  <c r="D39" i="52"/>
  <c r="B39" i="52"/>
  <c r="D38" i="52"/>
  <c r="B38" i="52"/>
  <c r="E37" i="52"/>
  <c r="H37" i="52" s="1"/>
  <c r="D37" i="52"/>
  <c r="B37" i="52"/>
  <c r="D36" i="52"/>
  <c r="B36" i="52"/>
  <c r="D35" i="52"/>
  <c r="B35" i="52"/>
  <c r="D34" i="52"/>
  <c r="B34" i="52"/>
  <c r="D33" i="52"/>
  <c r="B33" i="52"/>
  <c r="D32" i="52"/>
  <c r="B32" i="52"/>
  <c r="E31" i="52"/>
  <c r="H31" i="52" s="1"/>
  <c r="D31" i="52"/>
  <c r="B31" i="52"/>
  <c r="D30" i="52"/>
  <c r="B30" i="52"/>
  <c r="D29" i="52"/>
  <c r="B29" i="52"/>
  <c r="D28" i="52"/>
  <c r="B28" i="52"/>
  <c r="D27" i="52"/>
  <c r="B27" i="52"/>
  <c r="D26" i="52"/>
  <c r="B26" i="52"/>
  <c r="D25" i="52"/>
  <c r="B25" i="52"/>
  <c r="J24" i="52"/>
  <c r="H24" i="52"/>
  <c r="D24" i="52"/>
  <c r="B24" i="52"/>
  <c r="D23" i="52"/>
  <c r="B23" i="52"/>
  <c r="D22" i="52"/>
  <c r="B22" i="52"/>
  <c r="D21" i="52"/>
  <c r="B21" i="52"/>
  <c r="D20" i="52"/>
  <c r="B20" i="52"/>
  <c r="D19" i="52"/>
  <c r="B19" i="52"/>
  <c r="H18" i="52"/>
  <c r="D18" i="52"/>
  <c r="B18" i="52"/>
  <c r="D17" i="52"/>
  <c r="B17" i="52"/>
  <c r="D16" i="52"/>
  <c r="B16" i="52"/>
  <c r="D15" i="52"/>
  <c r="B15" i="52"/>
  <c r="D14" i="52"/>
  <c r="B14" i="52"/>
  <c r="D13" i="52"/>
  <c r="B13" i="52"/>
  <c r="D10" i="52"/>
  <c r="D9" i="52"/>
  <c r="D8" i="52"/>
  <c r="D7" i="52"/>
  <c r="G3" i="52"/>
  <c r="B3" i="52"/>
  <c r="G966" i="11"/>
  <c r="F972" i="11" s="1"/>
  <c r="E87" i="52" s="1"/>
  <c r="H87" i="52" s="1"/>
  <c r="G958" i="11"/>
  <c r="F964" i="11" s="1"/>
  <c r="E86" i="52" s="1"/>
  <c r="H86" i="52" s="1"/>
  <c r="G950" i="11"/>
  <c r="F956" i="11" s="1"/>
  <c r="E85" i="52" s="1"/>
  <c r="H85" i="52" s="1"/>
  <c r="G942" i="11"/>
  <c r="F948" i="11" s="1"/>
  <c r="E84" i="52" s="1"/>
  <c r="H84" i="52" s="1"/>
  <c r="F938" i="11"/>
  <c r="F940" i="11" s="1"/>
  <c r="E83" i="52" s="1"/>
  <c r="H83" i="52" s="1"/>
  <c r="F912" i="11"/>
  <c r="F911" i="11"/>
  <c r="F910" i="11"/>
  <c r="F894" i="11"/>
  <c r="F889" i="11"/>
  <c r="F884" i="11"/>
  <c r="F879" i="11"/>
  <c r="F874" i="11"/>
  <c r="F869" i="11"/>
  <c r="F864" i="11"/>
  <c r="F857" i="11"/>
  <c r="F856" i="11"/>
  <c r="F858" i="11" s="1"/>
  <c r="F837" i="11"/>
  <c r="F836" i="11"/>
  <c r="F835" i="11"/>
  <c r="F841" i="11" s="1"/>
  <c r="F823" i="11"/>
  <c r="F822" i="11"/>
  <c r="F824" i="11" s="1"/>
  <c r="F811" i="11"/>
  <c r="F812" i="11" s="1"/>
  <c r="F795" i="11"/>
  <c r="F794" i="11"/>
  <c r="F796" i="11" s="1"/>
  <c r="E782" i="11"/>
  <c r="E781" i="11"/>
  <c r="E780" i="11"/>
  <c r="F765" i="11"/>
  <c r="F764" i="11"/>
  <c r="F766" i="11" s="1"/>
  <c r="G749" i="11"/>
  <c r="F755" i="11" s="1"/>
  <c r="E75" i="52" s="1"/>
  <c r="H75" i="52" s="1"/>
  <c r="F743" i="11"/>
  <c r="F747" i="11" s="1"/>
  <c r="E74" i="52" s="1"/>
  <c r="H74" i="52" s="1"/>
  <c r="F731" i="11"/>
  <c r="F735" i="11" s="1"/>
  <c r="E73" i="52" s="1"/>
  <c r="H73" i="52" s="1"/>
  <c r="F717" i="11"/>
  <c r="F720" i="11" s="1"/>
  <c r="E72" i="52" s="1"/>
  <c r="H72" i="52" s="1"/>
  <c r="F697" i="11"/>
  <c r="F696" i="11"/>
  <c r="F695" i="11"/>
  <c r="F679" i="11"/>
  <c r="F678" i="11"/>
  <c r="F677" i="11"/>
  <c r="F683" i="11" s="1"/>
  <c r="F667" i="11"/>
  <c r="F670" i="11" s="1"/>
  <c r="E69" i="52" s="1"/>
  <c r="H69" i="52" s="1"/>
  <c r="G652" i="11"/>
  <c r="F658" i="11" s="1"/>
  <c r="E68" i="52" s="1"/>
  <c r="H68" i="52" s="1"/>
  <c r="F648" i="11"/>
  <c r="F650" i="11" s="1"/>
  <c r="E67" i="52" s="1"/>
  <c r="H67" i="52" s="1"/>
  <c r="G637" i="11"/>
  <c r="F643" i="11" s="1"/>
  <c r="E66" i="52" s="1"/>
  <c r="H66" i="52" s="1"/>
  <c r="F626" i="11"/>
  <c r="F628" i="11" s="1"/>
  <c r="E64" i="52" s="1"/>
  <c r="H64" i="52" s="1"/>
  <c r="G615" i="11"/>
  <c r="F621" i="11" s="1"/>
  <c r="E63" i="52" s="1"/>
  <c r="H63" i="52" s="1"/>
  <c r="F612" i="11"/>
  <c r="G606" i="11"/>
  <c r="F613" i="11" s="1"/>
  <c r="E62" i="52" s="1"/>
  <c r="H62" i="52" s="1"/>
  <c r="F601" i="11"/>
  <c r="F596" i="11"/>
  <c r="F591" i="11"/>
  <c r="F586" i="11"/>
  <c r="F581" i="11"/>
  <c r="G568" i="11"/>
  <c r="F574" i="11" s="1"/>
  <c r="E61" i="52" s="1"/>
  <c r="H61" i="52" s="1"/>
  <c r="F566" i="11"/>
  <c r="E60" i="52" s="1"/>
  <c r="H60" i="52" s="1"/>
  <c r="G540" i="11"/>
  <c r="G534" i="11"/>
  <c r="G528" i="11"/>
  <c r="G520" i="11"/>
  <c r="F526" i="11" s="1"/>
  <c r="E58" i="52" s="1"/>
  <c r="H58" i="52" s="1"/>
  <c r="F516" i="11"/>
  <c r="F518" i="11" s="1"/>
  <c r="E57" i="52" s="1"/>
  <c r="H57" i="52" s="1"/>
  <c r="G505" i="11"/>
  <c r="G499" i="11"/>
  <c r="G493" i="11"/>
  <c r="G487" i="11"/>
  <c r="G481" i="11"/>
  <c r="G473" i="11"/>
  <c r="G467" i="11"/>
  <c r="G459" i="11"/>
  <c r="F465" i="11" s="1"/>
  <c r="E54" i="52" s="1"/>
  <c r="H54" i="52" s="1"/>
  <c r="G451" i="11"/>
  <c r="G445" i="11"/>
  <c r="G439" i="11"/>
  <c r="G431" i="11"/>
  <c r="F437" i="11" s="1"/>
  <c r="E52" i="52" s="1"/>
  <c r="H52" i="52" s="1"/>
  <c r="G423" i="11"/>
  <c r="F429" i="11" s="1"/>
  <c r="E51" i="52" s="1"/>
  <c r="H51" i="52" s="1"/>
  <c r="G414" i="11"/>
  <c r="F421" i="11" s="1"/>
  <c r="E50" i="52" s="1"/>
  <c r="H50" i="52" s="1"/>
  <c r="F410" i="11"/>
  <c r="F412" i="11" s="1"/>
  <c r="E49" i="52" s="1"/>
  <c r="H49" i="52" s="1"/>
  <c r="F403" i="11"/>
  <c r="F405" i="11" s="1"/>
  <c r="E48" i="52" s="1"/>
  <c r="H48" i="52" s="1"/>
  <c r="F396" i="11"/>
  <c r="F398" i="11" s="1"/>
  <c r="E47" i="52" s="1"/>
  <c r="H47" i="52" s="1"/>
  <c r="G385" i="11"/>
  <c r="G379" i="11"/>
  <c r="G370" i="11"/>
  <c r="F377" i="11" s="1"/>
  <c r="E45" i="52" s="1"/>
  <c r="H45" i="52" s="1"/>
  <c r="F366" i="11"/>
  <c r="F368" i="11" s="1"/>
  <c r="E44" i="52" s="1"/>
  <c r="H44" i="52" s="1"/>
  <c r="F349" i="11"/>
  <c r="F351" i="11" s="1"/>
  <c r="E42" i="52" s="1"/>
  <c r="H42" i="52" s="1"/>
  <c r="F335" i="11"/>
  <c r="F334" i="11"/>
  <c r="F333" i="11"/>
  <c r="F310" i="11"/>
  <c r="F309" i="11"/>
  <c r="F308" i="11"/>
  <c r="F314" i="11" s="1"/>
  <c r="F292" i="11"/>
  <c r="F291" i="11"/>
  <c r="F290" i="11"/>
  <c r="F281" i="11"/>
  <c r="F283" i="11" s="1"/>
  <c r="E38" i="52" s="1"/>
  <c r="H38" i="52" s="1"/>
  <c r="F266" i="11"/>
  <c r="F269" i="11" s="1"/>
  <c r="E36" i="52" s="1"/>
  <c r="H36" i="52" s="1"/>
  <c r="F256" i="11"/>
  <c r="F261" i="11" s="1"/>
  <c r="E35" i="52" s="1"/>
  <c r="H35" i="52" s="1"/>
  <c r="F248" i="11"/>
  <c r="F251" i="11" s="1"/>
  <c r="E34" i="52" s="1"/>
  <c r="H34" i="52" s="1"/>
  <c r="F241" i="11"/>
  <c r="F232" i="11"/>
  <c r="F237" i="11" s="1"/>
  <c r="F220" i="11"/>
  <c r="F222" i="11" s="1"/>
  <c r="E32" i="52" s="1"/>
  <c r="F204" i="11"/>
  <c r="F206" i="11" s="1"/>
  <c r="E30" i="52" s="1"/>
  <c r="F199" i="11"/>
  <c r="E29" i="52" s="1"/>
  <c r="G187" i="11"/>
  <c r="G181" i="11"/>
  <c r="F176" i="11"/>
  <c r="F178" i="11" s="1"/>
  <c r="G166" i="11"/>
  <c r="F179" i="11" s="1"/>
  <c r="E27" i="52" s="1"/>
  <c r="H27" i="52" s="1"/>
  <c r="G158" i="11"/>
  <c r="F155" i="11"/>
  <c r="F157" i="11" s="1"/>
  <c r="F164" i="11" s="1"/>
  <c r="E26" i="52" s="1"/>
  <c r="H26" i="52" s="1"/>
  <c r="G138" i="11"/>
  <c r="F144" i="11" s="1"/>
  <c r="E25" i="52" s="1"/>
  <c r="H25" i="52" s="1"/>
  <c r="G130" i="11"/>
  <c r="F136" i="11" s="1"/>
  <c r="G122" i="11"/>
  <c r="F128" i="11" s="1"/>
  <c r="E23" i="52" s="1"/>
  <c r="H23" i="52" s="1"/>
  <c r="G114" i="11"/>
  <c r="F120" i="11" s="1"/>
  <c r="E22" i="52" s="1"/>
  <c r="H22" i="52" s="1"/>
  <c r="F109" i="11"/>
  <c r="F108" i="11"/>
  <c r="F107" i="11"/>
  <c r="F106" i="11"/>
  <c r="F105" i="11"/>
  <c r="F92" i="11"/>
  <c r="F97" i="11" s="1"/>
  <c r="G79" i="11"/>
  <c r="F85" i="11" s="1"/>
  <c r="E20" i="52" s="1"/>
  <c r="H20" i="52" s="1"/>
  <c r="G71" i="11"/>
  <c r="G65" i="11"/>
  <c r="G62" i="11"/>
  <c r="G56" i="11"/>
  <c r="G40" i="11"/>
  <c r="G34" i="11"/>
  <c r="E16" i="52" s="1"/>
  <c r="H16" i="52" s="1"/>
  <c r="G26" i="11"/>
  <c r="E15" i="52" s="1"/>
  <c r="H15" i="52" s="1"/>
  <c r="G19" i="11"/>
  <c r="E14" i="52" s="1"/>
  <c r="H14" i="52" s="1"/>
  <c r="G8" i="11"/>
  <c r="E13" i="52" s="1"/>
  <c r="H13" i="52" s="1"/>
  <c r="E17" i="52" l="1"/>
  <c r="H17" i="52" s="1"/>
  <c r="F391" i="11"/>
  <c r="E46" i="52" s="1"/>
  <c r="H46" i="52" s="1"/>
  <c r="F917" i="11"/>
  <c r="F193" i="11"/>
  <c r="E28" i="52" s="1"/>
  <c r="H28" i="52" s="1"/>
  <c r="F297" i="11"/>
  <c r="F457" i="11"/>
  <c r="E53" i="52" s="1"/>
  <c r="H53" i="52" s="1"/>
  <c r="F703" i="11"/>
  <c r="F783" i="11"/>
  <c r="F784" i="11" s="1"/>
  <c r="F785" i="11" s="1"/>
  <c r="E76" i="52" s="1"/>
  <c r="F233" i="11"/>
  <c r="F479" i="11"/>
  <c r="E55" i="52" s="1"/>
  <c r="H55" i="52" s="1"/>
  <c r="F77" i="11"/>
  <c r="E19" i="52" s="1"/>
  <c r="H19" i="52" s="1"/>
  <c r="F243" i="11"/>
  <c r="E33" i="52" s="1"/>
  <c r="H33" i="52" s="1"/>
  <c r="F341" i="11"/>
  <c r="F558" i="11"/>
  <c r="E59" i="52" s="1"/>
  <c r="H59" i="52" s="1"/>
  <c r="F340" i="11"/>
  <c r="F702" i="11"/>
  <c r="F895" i="11"/>
  <c r="F916" i="11"/>
  <c r="F111" i="11"/>
  <c r="F112" i="11" s="1"/>
  <c r="E21" i="52" s="1"/>
  <c r="H21" i="52" s="1"/>
  <c r="F813" i="11"/>
  <c r="E77" i="52" s="1"/>
  <c r="H77" i="52" s="1"/>
  <c r="F844" i="11"/>
  <c r="F343" i="11"/>
  <c r="F705" i="11"/>
  <c r="F920" i="11"/>
  <c r="F316" i="11"/>
  <c r="F318" i="11"/>
  <c r="F339" i="11"/>
  <c r="F511" i="11"/>
  <c r="E56" i="52" s="1"/>
  <c r="H56" i="52" s="1"/>
  <c r="F602" i="11"/>
  <c r="F605" i="11" s="1"/>
  <c r="F685" i="11"/>
  <c r="F687" i="11"/>
  <c r="F701" i="11"/>
  <c r="F843" i="11"/>
  <c r="F845" i="11"/>
  <c r="H29" i="52"/>
  <c r="J29" i="52"/>
  <c r="F299" i="11"/>
  <c r="F298" i="11"/>
  <c r="F300" i="11"/>
  <c r="F296" i="11"/>
  <c r="J53" i="52"/>
  <c r="L32" i="52"/>
  <c r="H32" i="52"/>
  <c r="N32" i="52"/>
  <c r="F896" i="11"/>
  <c r="E79" i="52" s="1"/>
  <c r="H79" i="52" s="1"/>
  <c r="N30" i="52"/>
  <c r="L30" i="52"/>
  <c r="H30" i="52"/>
  <c r="F342" i="11"/>
  <c r="F317" i="11"/>
  <c r="F686" i="11"/>
  <c r="F704" i="11"/>
  <c r="F918" i="11"/>
  <c r="F315" i="11"/>
  <c r="F684" i="11"/>
  <c r="F842" i="11"/>
  <c r="F846" i="11" s="1"/>
  <c r="F847" i="11" s="1"/>
  <c r="E78" i="52" s="1"/>
  <c r="H78" i="52" s="1"/>
  <c r="F919" i="11"/>
  <c r="F371" i="11" l="1"/>
  <c r="F921" i="11"/>
  <c r="E80" i="52" s="1"/>
  <c r="H80" i="52" s="1"/>
  <c r="L77" i="52"/>
  <c r="F688" i="11"/>
  <c r="E70" i="52" s="1"/>
  <c r="H70" i="52" s="1"/>
  <c r="F706" i="11"/>
  <c r="E71" i="52" s="1"/>
  <c r="H71" i="52" s="1"/>
  <c r="N77" i="52"/>
  <c r="F319" i="11"/>
  <c r="E40" i="52" s="1"/>
  <c r="H40" i="52" s="1"/>
  <c r="F344" i="11"/>
  <c r="E41" i="52" s="1"/>
  <c r="H41" i="52" s="1"/>
  <c r="N76" i="52"/>
  <c r="L76" i="52"/>
  <c r="H76" i="52"/>
  <c r="F301" i="11"/>
  <c r="E39" i="52" s="1"/>
  <c r="H39" i="52" s="1"/>
  <c r="K8" i="52"/>
  <c r="K9" i="52" l="1"/>
  <c r="K10" i="52"/>
  <c r="K5"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Asus</author>
    <author>User</author>
  </authors>
  <commentList>
    <comment ref="E8" authorId="0" shapeId="0" xr:uid="{4ACE8848-D733-416A-ACF3-364762BC1573}">
      <text>
        <r>
          <rPr>
            <b/>
            <sz val="9"/>
            <color indexed="81"/>
            <rFont val="Tahoma"/>
            <family val="2"/>
          </rPr>
          <t xml:space="preserve">Skor 4 : 
</t>
        </r>
        <r>
          <rPr>
            <sz val="9"/>
            <color indexed="81"/>
            <rFont val="Tahoma"/>
            <family val="2"/>
          </rPr>
          <t xml:space="preserve">VMTS UPPS : 
a. sangat sesuai dengan VMTS PT,
b. sangat jelas,
c. sangan visioner,
d. sangat realistik
</t>
        </r>
        <r>
          <rPr>
            <b/>
            <sz val="9"/>
            <color indexed="81"/>
            <rFont val="Tahoma"/>
            <family val="2"/>
          </rPr>
          <t xml:space="preserve">Skor 3 :
</t>
        </r>
        <r>
          <rPr>
            <sz val="9"/>
            <color indexed="81"/>
            <rFont val="Tahoma"/>
            <family val="2"/>
          </rPr>
          <t xml:space="preserve">VMTS UPPS :
a. sangat sesuai dengan VMTS PT,
b. sangat jelas,
c. visioner,
d. realistik.
</t>
        </r>
        <r>
          <rPr>
            <b/>
            <sz val="9"/>
            <color indexed="81"/>
            <rFont val="Tahoma"/>
            <family val="2"/>
          </rPr>
          <t xml:space="preserve">Skor 2 :
</t>
        </r>
        <r>
          <rPr>
            <sz val="9"/>
            <color indexed="81"/>
            <rFont val="Tahoma"/>
            <family val="2"/>
          </rPr>
          <t xml:space="preserve">VMTS UPPS
a. sesuai dengan VMTS PT,
b. jelas,
c. visioner,
d. realistik.
</t>
        </r>
        <r>
          <rPr>
            <b/>
            <sz val="9"/>
            <color indexed="81"/>
            <rFont val="Tahoma"/>
            <family val="2"/>
          </rPr>
          <t xml:space="preserve">Skor 1 : </t>
        </r>
        <r>
          <rPr>
            <sz val="9"/>
            <color indexed="81"/>
            <rFont val="Tahoma"/>
            <family val="2"/>
          </rPr>
          <t xml:space="preserve">
VMTS UPPS :
a. tidak sesuai dengan VMTS PT,
b. tidak jelas,
c. tidak visioner,
d. tidak realistik.
 </t>
        </r>
      </text>
    </comment>
    <comment ref="E9" authorId="0" shapeId="0" xr:uid="{2AE1E288-0F4E-43BD-B46D-42FB5BE15EA6}">
      <text>
        <r>
          <rPr>
            <b/>
            <sz val="9"/>
            <color indexed="81"/>
            <rFont val="Tahoma"/>
            <family val="2"/>
          </rPr>
          <t xml:space="preserve">Skor 4 :
</t>
        </r>
        <r>
          <rPr>
            <sz val="9"/>
            <color indexed="81"/>
            <rFont val="Tahoma"/>
            <family val="2"/>
          </rPr>
          <t xml:space="preserve">UPPS memiliki rasio DTPS: 
mahasiswa = 1:10 - 1:30
</t>
        </r>
        <r>
          <rPr>
            <b/>
            <sz val="9"/>
            <color indexed="81"/>
            <rFont val="Tahoma"/>
            <family val="2"/>
          </rPr>
          <t>Skor 3 :</t>
        </r>
        <r>
          <rPr>
            <sz val="9"/>
            <color indexed="81"/>
            <rFont val="Tahoma"/>
            <family val="2"/>
          </rPr>
          <t xml:space="preserve">
UPPS memiliki rasio DTPS:
mahasiswa = 1.31 - 1:40
</t>
        </r>
        <r>
          <rPr>
            <b/>
            <sz val="9"/>
            <color indexed="81"/>
            <rFont val="Tahoma"/>
            <family val="2"/>
          </rPr>
          <t>Skor 2 :</t>
        </r>
        <r>
          <rPr>
            <sz val="9"/>
            <color indexed="81"/>
            <rFont val="Tahoma"/>
            <family val="2"/>
          </rPr>
          <t xml:space="preserve">
UPPS memiliki rasio DTPS:
mahasiswa = 1:41 - 1:50
</t>
        </r>
        <r>
          <rPr>
            <b/>
            <sz val="9"/>
            <color indexed="81"/>
            <rFont val="Tahoma"/>
            <family val="2"/>
          </rPr>
          <t>Skor 1:</t>
        </r>
        <r>
          <rPr>
            <sz val="9"/>
            <color indexed="81"/>
            <rFont val="Tahoma"/>
            <family val="2"/>
          </rPr>
          <t xml:space="preserve">
UPPS memiliki rasio DTPS:
mahasiswa = 1:&gt; 50 atau 1:&lt;10
</t>
        </r>
      </text>
    </comment>
    <comment ref="E10" authorId="0" shapeId="0" xr:uid="{5FC74E5C-72ED-42F1-B49B-358FE430EFA6}">
      <text>
        <r>
          <rPr>
            <b/>
            <sz val="9"/>
            <color indexed="81"/>
            <rFont val="Tahoma"/>
            <family val="2"/>
          </rPr>
          <t xml:space="preserve">Skor 4 :
</t>
        </r>
        <r>
          <rPr>
            <sz val="9"/>
            <color indexed="81"/>
            <rFont val="Tahoma"/>
            <family val="2"/>
          </rPr>
          <t xml:space="preserve">Mahasiswa reguler yang berada di UPPS:
a. memiliki rerata IPK 3.01  - 4.00
b. memiliki rerata masa studi &lt; 5 tahun
</t>
        </r>
        <r>
          <rPr>
            <b/>
            <sz val="9"/>
            <color indexed="81"/>
            <rFont val="Tahoma"/>
            <family val="2"/>
          </rPr>
          <t xml:space="preserve">
Skor 3 :</t>
        </r>
        <r>
          <rPr>
            <sz val="9"/>
            <color indexed="81"/>
            <rFont val="Tahoma"/>
            <family val="2"/>
          </rPr>
          <t xml:space="preserve">
Mahasiswa reguler yang berada di UPPS :
a. memiliki rerata IPK 2.51 - 3.00
b. memiliki rerata masa studi 5 - 6 tahun
</t>
        </r>
        <r>
          <rPr>
            <b/>
            <sz val="9"/>
            <color indexed="81"/>
            <rFont val="Tahoma"/>
            <family val="2"/>
          </rPr>
          <t>Skor 2 :</t>
        </r>
        <r>
          <rPr>
            <sz val="9"/>
            <color indexed="81"/>
            <rFont val="Tahoma"/>
            <family val="2"/>
          </rPr>
          <t xml:space="preserve">
Mahasiswa reguler yang berada di UPPS :
a. memiliki rerata IPK 2.00 - 2.50
b. memiliki rerata masa studi 6-7 tahun
</t>
        </r>
        <r>
          <rPr>
            <b/>
            <sz val="9"/>
            <color indexed="81"/>
            <rFont val="Tahoma"/>
            <family val="2"/>
          </rPr>
          <t>Skor 1 :</t>
        </r>
        <r>
          <rPr>
            <sz val="9"/>
            <color indexed="81"/>
            <rFont val="Tahoma"/>
            <family val="2"/>
          </rPr>
          <t xml:space="preserve">
Tidak ada Skor 1
</t>
        </r>
      </text>
    </comment>
    <comment ref="E11" authorId="0" shapeId="0" xr:uid="{52A6817D-67FE-4BDD-BC40-F559C2C6C71D}">
      <text>
        <r>
          <rPr>
            <b/>
            <sz val="9"/>
            <color indexed="81"/>
            <rFont val="Tahoma"/>
            <family val="2"/>
          </rPr>
          <t xml:space="preserve">Skor 4:
</t>
        </r>
        <r>
          <rPr>
            <sz val="9"/>
            <color indexed="81"/>
            <rFont val="Tahoma"/>
            <family val="2"/>
          </rPr>
          <t xml:space="preserve">UPPS memiliki dana :
a. pendidikan sebesar &gt;= 18 juta rupiah/mahasiswa/tahun
b. penelitian sebesar &gt;= 10 juta rupiah/dosen/tahun
c. PkM sebesar &gt;= 5 juta rupiah/dosen/tahun
d. publikasi sebesar &gt;= 3 juta rupiah/dosen/tahun
e. investasi sebesar &gt;= 2 miliar/tahun
</t>
        </r>
        <r>
          <rPr>
            <b/>
            <sz val="9"/>
            <color indexed="81"/>
            <rFont val="Tahoma"/>
            <family val="2"/>
          </rPr>
          <t>Skor 3:</t>
        </r>
        <r>
          <rPr>
            <sz val="9"/>
            <color indexed="81"/>
            <rFont val="Tahoma"/>
            <family val="2"/>
          </rPr>
          <t xml:space="preserve">
UPPS memiliki dana :
a. pendidikan sebesar 10 - 17 juta rupiah/mahasiswa/tahun
b. penelitian sebesar 7 - 9 juta rupiah/dosen/tahun
c. PkM sebesar 3 - 4 juta rupiah/dosen/tahun
d. publikasi sebesar 2 juta rupiah/dosen/tahun
e. investasi sebesar 1.5 - 1.9 miliar/tahun
</t>
        </r>
        <r>
          <rPr>
            <b/>
            <sz val="9"/>
            <color indexed="81"/>
            <rFont val="Tahoma"/>
            <family val="2"/>
          </rPr>
          <t>Skor 2:</t>
        </r>
        <r>
          <rPr>
            <sz val="9"/>
            <color indexed="81"/>
            <rFont val="Tahoma"/>
            <family val="2"/>
          </rPr>
          <t xml:space="preserve">
UPPS memiliki dana :
a. pendidikan sebesar 5 - 9 juta rupiah/mahasiswa/tahun
b. penelitian sebesar 4 -6 juta rupiah/dosen/tahun
c. PkM sebesar 1 - 2 juta rupiah/dosen/tahun
d. publikasi sebesar 1 juta rupiah/dosen/tahun
e. investasi sebesar 1 - 1.4 miliar/tahun
</t>
        </r>
        <r>
          <rPr>
            <b/>
            <sz val="9"/>
            <color indexed="81"/>
            <rFont val="Tahoma"/>
            <family val="2"/>
          </rPr>
          <t>Skor 1:</t>
        </r>
        <r>
          <rPr>
            <sz val="9"/>
            <color indexed="81"/>
            <rFont val="Tahoma"/>
            <family val="2"/>
          </rPr>
          <t xml:space="preserve">
UPPS memiliki dana :
a. pendidikan sebesar &lt; 5 juta rupiah/mahasiswa/tahun
b. penelitian sebesar &lt;= 3 juta rupiah/dosen/tahun
c. PkM sebesar &lt; 1  juta rupiah/dosen/tahun
d. publikasi sebesar &lt; 1  juta rupiah/dosen/tahun
e. investasi sebesar &lt; 1 miliar/tahun</t>
        </r>
      </text>
    </comment>
    <comment ref="E12" authorId="0" shapeId="0" xr:uid="{9DBEB643-38DC-494F-AB71-31A1D2010882}">
      <text>
        <r>
          <rPr>
            <b/>
            <sz val="9"/>
            <color indexed="81"/>
            <rFont val="Tahoma"/>
            <family val="2"/>
          </rPr>
          <t xml:space="preserve">Skor 4:
</t>
        </r>
        <r>
          <rPr>
            <sz val="9"/>
            <color indexed="81"/>
            <rFont val="Tahoma"/>
            <family val="2"/>
          </rPr>
          <t xml:space="preserve">UPPS menyediakan :
a. prasarana pembelajaran dalam jumlah dan kualitas yang sangat memadai
b. sarana pembelajaran dalam jumlah dan kualitas yang sangat memadai
</t>
        </r>
        <r>
          <rPr>
            <b/>
            <sz val="9"/>
            <color indexed="81"/>
            <rFont val="Tahoma"/>
            <family val="2"/>
          </rPr>
          <t>Skor 3:</t>
        </r>
        <r>
          <rPr>
            <sz val="9"/>
            <color indexed="81"/>
            <rFont val="Tahoma"/>
            <family val="2"/>
          </rPr>
          <t xml:space="preserve">
UPPS menyediakan :
a. prasarana pembelajaran dalam jumlah dan kualitas yang sangat memadai
b. sarana pembelajaran dalam jumlah dan kualitas yang memadai
</t>
        </r>
        <r>
          <rPr>
            <b/>
            <sz val="9"/>
            <color indexed="81"/>
            <rFont val="Tahoma"/>
            <family val="2"/>
          </rPr>
          <t>Skor 2:</t>
        </r>
        <r>
          <rPr>
            <sz val="9"/>
            <color indexed="81"/>
            <rFont val="Tahoma"/>
            <family val="2"/>
          </rPr>
          <t xml:space="preserve">
UPPS menyediakan :
a. prasarana pembelajaran dalam jumlah dan kualitas yang memadai
b. sarana pembelajaran dalam jumlah dan kualitas yang memadai
</t>
        </r>
        <r>
          <rPr>
            <b/>
            <sz val="9"/>
            <color indexed="81"/>
            <rFont val="Tahoma"/>
            <family val="2"/>
          </rPr>
          <t>Skor 1:</t>
        </r>
        <r>
          <rPr>
            <sz val="9"/>
            <color indexed="81"/>
            <rFont val="Tahoma"/>
            <family val="2"/>
          </rPr>
          <t xml:space="preserve">
UPPS menyediakan :
a. prasarana pembelajaran dalam jumlah dan kualitas yang tidak memadai
b. sarana pembelajaran dalam jumlah dan kualitas yang tidak memadai</t>
        </r>
      </text>
    </comment>
    <comment ref="E13" authorId="0" shapeId="0" xr:uid="{AE98D263-6A04-4168-B28A-D9AEE4E80923}">
      <text>
        <r>
          <rPr>
            <b/>
            <sz val="9"/>
            <color indexed="81"/>
            <rFont val="Tahoma"/>
            <family val="2"/>
          </rPr>
          <t xml:space="preserve">Skor 4 :
</t>
        </r>
        <r>
          <rPr>
            <sz val="9"/>
            <color indexed="81"/>
            <rFont val="Tahoma"/>
            <family val="2"/>
          </rPr>
          <t xml:space="preserve">UPPS menjalin kerjasama dalam bidang tridharma PT dengan pihak lain :
a. di dalam negeri sebanyak &gt; 8 kerjasama,
b. di luar negeri sebanyak &gt; 2 kerjasama
</t>
        </r>
        <r>
          <rPr>
            <b/>
            <sz val="9"/>
            <color indexed="81"/>
            <rFont val="Tahoma"/>
            <family val="2"/>
          </rPr>
          <t>Skor 3 :</t>
        </r>
        <r>
          <rPr>
            <sz val="9"/>
            <color indexed="81"/>
            <rFont val="Tahoma"/>
            <family val="2"/>
          </rPr>
          <t xml:space="preserve">
UPPS menjalin kerjasama dalam bidang tridharma PT dengan pihak lain :
a. di dalam negeri sebanyak 5 - 8 kerjasama,
b. di luar negeri sebanyak 1 - 2 kerjasama
</t>
        </r>
        <r>
          <rPr>
            <b/>
            <sz val="9"/>
            <color indexed="81"/>
            <rFont val="Tahoma"/>
            <family val="2"/>
          </rPr>
          <t>Skor 2 :</t>
        </r>
        <r>
          <rPr>
            <sz val="9"/>
            <color indexed="81"/>
            <rFont val="Tahoma"/>
            <family val="2"/>
          </rPr>
          <t xml:space="preserve">
UPPS menjalin kerjasama dalam bidang tridharma PT dengan pihak lain :
a. di dalam negeri sebanyak 2 - 4 kerjasama,
</t>
        </r>
        <r>
          <rPr>
            <b/>
            <sz val="9"/>
            <color indexed="81"/>
            <rFont val="Tahoma"/>
            <family val="2"/>
          </rPr>
          <t>Skor 1 :</t>
        </r>
        <r>
          <rPr>
            <sz val="9"/>
            <color indexed="81"/>
            <rFont val="Tahoma"/>
            <family val="2"/>
          </rPr>
          <t xml:space="preserve">
UPPS menjalin kerjasama dalam bidang tridharma PT dengan pihak lain :
a. di dalam negeri sebanyak &lt; 2 kerjasama,
</t>
        </r>
      </text>
    </comment>
    <comment ref="E14" authorId="0" shapeId="0" xr:uid="{CA3E6D42-9816-4029-8EB9-8EDAC5D443AA}">
      <text>
        <r>
          <rPr>
            <b/>
            <sz val="9"/>
            <color indexed="81"/>
            <rFont val="Tahoma"/>
            <family val="2"/>
          </rPr>
          <t xml:space="preserve">Skor 4 :
</t>
        </r>
        <r>
          <rPr>
            <sz val="9"/>
            <color indexed="81"/>
            <rFont val="Tahoma"/>
            <family val="2"/>
          </rPr>
          <t>UPPS memiliki :</t>
        </r>
        <r>
          <rPr>
            <b/>
            <sz val="9"/>
            <color indexed="81"/>
            <rFont val="Tahoma"/>
            <family val="2"/>
          </rPr>
          <t xml:space="preserve">
</t>
        </r>
        <r>
          <rPr>
            <sz val="9"/>
            <color indexed="81"/>
            <rFont val="Tahoma"/>
            <family val="2"/>
          </rPr>
          <t xml:space="preserve">a. 4 dokumen SPMI
b. dilaksanakan secara sangat konsiten
c. didokumentasikan dengan sangat baik
</t>
        </r>
        <r>
          <rPr>
            <b/>
            <sz val="9"/>
            <color indexed="81"/>
            <rFont val="Tahoma"/>
            <family val="2"/>
          </rPr>
          <t>Skor 3:</t>
        </r>
        <r>
          <rPr>
            <sz val="9"/>
            <color indexed="81"/>
            <rFont val="Tahoma"/>
            <family val="2"/>
          </rPr>
          <t xml:space="preserve">
UPPS memiliki :
a. 4 dokumen SPMI
b. dilaksanakan secara sangat konsiten
c. didokumentasikan dengan baik
</t>
        </r>
        <r>
          <rPr>
            <b/>
            <sz val="9"/>
            <color indexed="81"/>
            <rFont val="Tahoma"/>
            <family val="2"/>
          </rPr>
          <t>Skor 2:</t>
        </r>
        <r>
          <rPr>
            <sz val="9"/>
            <color indexed="81"/>
            <rFont val="Tahoma"/>
            <family val="2"/>
          </rPr>
          <t xml:space="preserve">
UPPS memiliki :
a. 4 dokumen SPMI
b. dilaksanakan secara konsiten
c. didokumentasikan dengan baik
</t>
        </r>
        <r>
          <rPr>
            <b/>
            <sz val="9"/>
            <color indexed="81"/>
            <rFont val="Tahoma"/>
            <family val="2"/>
          </rPr>
          <t>Skor 1:</t>
        </r>
        <r>
          <rPr>
            <sz val="9"/>
            <color indexed="81"/>
            <rFont val="Tahoma"/>
            <family val="2"/>
          </rPr>
          <t xml:space="preserve">
UPPS memiliki :
a. kurang dari 4 dokumen SPMI
b. dilaksanakan secara tidak konsiten
c. tidak didokumentasikan dengan baik
</t>
        </r>
      </text>
    </comment>
    <comment ref="E15" authorId="0" shapeId="0" xr:uid="{DDE803FF-5A3D-4F31-83E4-8FB441AE0178}">
      <text>
        <r>
          <rPr>
            <b/>
            <sz val="9"/>
            <color indexed="81"/>
            <rFont val="Tahoma"/>
            <family val="2"/>
          </rPr>
          <t xml:space="preserve">Skor 4:
</t>
        </r>
        <r>
          <rPr>
            <sz val="9"/>
            <color indexed="81"/>
            <rFont val="Tahoma"/>
            <family val="2"/>
          </rPr>
          <t xml:space="preserve">UPPS memiliki keunggulan minimal dalam bidang tridarma PT dan didukung oleh bukti valid
</t>
        </r>
        <r>
          <rPr>
            <b/>
            <sz val="9"/>
            <color indexed="81"/>
            <rFont val="Tahoma"/>
            <family val="2"/>
          </rPr>
          <t>Skor 3:</t>
        </r>
        <r>
          <rPr>
            <sz val="9"/>
            <color indexed="81"/>
            <rFont val="Tahoma"/>
            <family val="2"/>
          </rPr>
          <t xml:space="preserve">
UPPS memiliki keunggulan dalam bidang pendidikan dan penelitian atau PkM didukung oleh bukti yang valid
</t>
        </r>
        <r>
          <rPr>
            <b/>
            <sz val="9"/>
            <color indexed="81"/>
            <rFont val="Tahoma"/>
            <family val="2"/>
          </rPr>
          <t>Skor 2:</t>
        </r>
        <r>
          <rPr>
            <sz val="9"/>
            <color indexed="81"/>
            <rFont val="Tahoma"/>
            <family val="2"/>
          </rPr>
          <t xml:space="preserve">
UPPS memiliki sedikitnya 1 keunggulan bidang pendidikan dan didukung oleh bukti yang valid
</t>
        </r>
        <r>
          <rPr>
            <b/>
            <sz val="9"/>
            <color indexed="81"/>
            <rFont val="Tahoma"/>
            <family val="2"/>
          </rPr>
          <t>Skor 1:</t>
        </r>
        <r>
          <rPr>
            <sz val="9"/>
            <color indexed="81"/>
            <rFont val="Tahoma"/>
            <family val="2"/>
          </rPr>
          <t xml:space="preserve">
UPPS tidak memiliki bidang unggulan</t>
        </r>
      </text>
    </comment>
    <comment ref="E16" authorId="0" shapeId="0" xr:uid="{40E70C52-1C92-4BAE-9A55-94B3778EF141}">
      <text>
        <r>
          <rPr>
            <b/>
            <sz val="9"/>
            <color indexed="81"/>
            <rFont val="Tahoma"/>
            <family val="2"/>
          </rPr>
          <t xml:space="preserve">Skor 4 :
</t>
        </r>
        <r>
          <rPr>
            <sz val="9"/>
            <color indexed="81"/>
            <rFont val="Tahoma"/>
            <family val="2"/>
          </rPr>
          <t xml:space="preserve">UPPS berada di PT dengan peringkat APT Unggul (A)
</t>
        </r>
        <r>
          <rPr>
            <b/>
            <sz val="9"/>
            <color indexed="81"/>
            <rFont val="Tahoma"/>
            <family val="2"/>
          </rPr>
          <t>Skor 3 :</t>
        </r>
        <r>
          <rPr>
            <sz val="9"/>
            <color indexed="81"/>
            <rFont val="Tahoma"/>
            <family val="2"/>
          </rPr>
          <t xml:space="preserve">
UPPS berada di PT dengan peringkat APT Baik Sekali (B)
</t>
        </r>
        <r>
          <rPr>
            <b/>
            <sz val="9"/>
            <color indexed="81"/>
            <rFont val="Tahoma"/>
            <family val="2"/>
          </rPr>
          <t>Skor 2 :</t>
        </r>
        <r>
          <rPr>
            <sz val="9"/>
            <color indexed="81"/>
            <rFont val="Tahoma"/>
            <family val="2"/>
          </rPr>
          <t xml:space="preserve">
UPPS berada di PT dengan peringkat APT Baik (C)
</t>
        </r>
        <r>
          <rPr>
            <b/>
            <sz val="9"/>
            <color indexed="81"/>
            <rFont val="Tahoma"/>
            <family val="2"/>
          </rPr>
          <t xml:space="preserve">
Skor 4 :</t>
        </r>
        <r>
          <rPr>
            <sz val="9"/>
            <color indexed="81"/>
            <rFont val="Tahoma"/>
            <family val="2"/>
          </rPr>
          <t xml:space="preserve">
UPPS berada di PT dengan dengan belum peringkat APT
</t>
        </r>
      </text>
    </comment>
    <comment ref="F718" authorId="1" shapeId="0" xr:uid="{00000000-0006-0000-0100-000001000000}">
      <text>
        <r>
          <rPr>
            <b/>
            <sz val="9"/>
            <rFont val="Tahoma"/>
            <charset val="134"/>
          </rPr>
          <t>User:</t>
        </r>
        <r>
          <rPr>
            <sz val="9"/>
            <rFont val="Tahoma"/>
            <charset val="134"/>
          </rPr>
          <t xml:space="preserve">
b2</t>
        </r>
      </text>
    </comment>
    <comment ref="F719" authorId="1" shapeId="0" xr:uid="{00000000-0006-0000-0100-000002000000}">
      <text>
        <r>
          <rPr>
            <b/>
            <sz val="9"/>
            <rFont val="Tahoma"/>
            <charset val="134"/>
          </rPr>
          <t>User:</t>
        </r>
        <r>
          <rPr>
            <sz val="9"/>
            <rFont val="Tahoma"/>
            <charset val="134"/>
          </rPr>
          <t xml:space="preserve">
b4</t>
        </r>
      </text>
    </comment>
  </commentList>
</comments>
</file>

<file path=xl/sharedStrings.xml><?xml version="1.0" encoding="utf-8"?>
<sst xmlns="http://schemas.openxmlformats.org/spreadsheetml/2006/main" count="1387" uniqueCount="767">
  <si>
    <t>AKREDITASI PROGRAM STUDI</t>
  </si>
  <si>
    <t>BADAN AKREDITASI NASIONAL - PERGURUAN TINGGI</t>
  </si>
  <si>
    <t>PROGRAM SARJANA</t>
  </si>
  <si>
    <t xml:space="preserve">Nama Perguruan Tinggi </t>
  </si>
  <si>
    <t xml:space="preserve">:   </t>
  </si>
  <si>
    <t xml:space="preserve"> </t>
  </si>
  <si>
    <t>Nama Unit Pengelola</t>
  </si>
  <si>
    <t>Nama Program Studi</t>
  </si>
  <si>
    <t>Kode Panel</t>
  </si>
  <si>
    <t>TS</t>
  </si>
  <si>
    <t>/</t>
  </si>
  <si>
    <t>JTAA</t>
  </si>
  <si>
    <t>:</t>
  </si>
  <si>
    <t>TS = Tahun akademik penuh terakhir saat pengajuan usulan akreditasi</t>
  </si>
  <si>
    <t>ASESMEN KECUKUPAN</t>
  </si>
  <si>
    <t>(Penilaian Individual)</t>
  </si>
  <si>
    <t>Nama Asesor</t>
  </si>
  <si>
    <t>Kota Penilaian</t>
  </si>
  <si>
    <t>ban-pt</t>
  </si>
  <si>
    <t>versi 1.1</t>
  </si>
  <si>
    <t>Tanggal Penilaian</t>
  </si>
  <si>
    <r>
      <rPr>
        <b/>
        <sz val="12"/>
        <color theme="0"/>
        <rFont val="Calibri"/>
        <charset val="134"/>
        <scheme val="minor"/>
      </rPr>
      <t xml:space="preserve">PETUNJUK PENGISIAN: SEL YANG DIISI HANYA YANG BERWARNA </t>
    </r>
    <r>
      <rPr>
        <b/>
        <sz val="12"/>
        <color rgb="FFFFFF00"/>
        <rFont val="Calibri"/>
        <charset val="134"/>
        <scheme val="minor"/>
      </rPr>
      <t>KUNING</t>
    </r>
  </si>
  <si>
    <t xml:space="preserve">NO. </t>
  </si>
  <si>
    <t>ELEMEN</t>
  </si>
  <si>
    <t>INDIKATOR DAN PENILAIAN</t>
  </si>
  <si>
    <t>SKOR</t>
  </si>
  <si>
    <t>DESKRIPSI PENILAIAN ASESOR BERDASARKAN DATA DAN INFORMASI DARI DOKUMEN LED DAN LKPS</t>
  </si>
  <si>
    <t>Skor</t>
  </si>
  <si>
    <t>Mekanisme dan keterlibatan pemangku kepentingan dalam penyusunan VMTS UPPS.</t>
  </si>
  <si>
    <t xml:space="preserve">Strategi pencapaian tujuan disusun berdasarkan analisis yang sistematis, serta pada pelaksanaannya dilakukan pemantauan dan evaluasi yang ditindaklanjuti. </t>
  </si>
  <si>
    <t>Tidak ada Skor kurang dari 1.</t>
  </si>
  <si>
    <t>Skor = (A + (2 x B)) / 3</t>
  </si>
  <si>
    <t>C.2.4.b) 
Kepemimpinan dan Kemampuan Manajerial</t>
  </si>
  <si>
    <t>A. Komitmen pimpinan UPPS.</t>
  </si>
  <si>
    <t xml:space="preserve">Terdapat bukti/pengakuan yang sahih bahwa pimpinan UPPS memiliki karakter kepemimpinan operasional, organisasi, dan publik. </t>
  </si>
  <si>
    <t xml:space="preserve">Terdapat bukti/pengakuan yang sahih bahwa pimpinan UPPS memiliki 2 karakter diantara kepemimpinan operasional, organisasi, dan publik. </t>
  </si>
  <si>
    <t xml:space="preserve">Terdapat bukti/pengakuan yang sahih bahwa pimpinan UPPS memiliki salah satu karakter diantara kepemimpinan operasional, organisasi, dan publik. </t>
  </si>
  <si>
    <t>Tidak ada Skor kurang dari 2.</t>
  </si>
  <si>
    <t xml:space="preserve">B. Kapabilitas pimpinan UPPS, mencakup aspek: 1) perencanaan, 2) pengorganisasian, 3) penempatan personel, 4) pelaksanaan, 5) pengendalian dan pengawasan, dan 6) pelaporan yang menjadi dasar tindak lanjut. </t>
  </si>
  <si>
    <t>Pimpinan UPPS mampu :
1) melaksanakan 6 fungsi manajemen secara efektif dan efisien,
2) mengantisipasi dan menyelesaikan masalah pada situasi yang tidak terduga,
3) melakukan inovasi untuk menghasilkan nilai tambah.</t>
  </si>
  <si>
    <t>Pimpinan UPPS mampu :
1) melaksanakan 6 fungsi manajemen secara efektif dan efisien,
2) mengantisipasi dan menyelesaikan masalah pada situasi yang tidak terduga.</t>
  </si>
  <si>
    <t>Pimpinan UPPS mampu melaksanakan 6 fungsi manajemen secara efektif.</t>
  </si>
  <si>
    <t>Pimpinan UPPS mampu melaksanakan kurang dari 6 fungsi manajemen.</t>
  </si>
  <si>
    <t>C.2.4.c) 
Kerjasama</t>
  </si>
  <si>
    <t>Mutu, manfaat, kepuasan dan keberlanjutan kerjasama pendidikan, penelitian dan PkM yang relevan dengan program studi. UPPS memiliki bukti yang sahih terkait kerjasama yang ada telah memenuhi 3 aspek berikut: 1) memberikan manfaat bagi program studi dalam pemenuhan proses pembelajaran, penelitian, PkM. 2) memberikan peningkatan kinerja tridharma dan fasilitas pendukung program studi. 3) memberikan kepuasan kepada mitra industri dan mitra kerjasama lainnya, serta menjamin keberlanjutan kerjasama dan hasilnya.</t>
  </si>
  <si>
    <t>UPPS memiliki bukti yang sahih terkait kerjasama yang ada telah memenuhi 3 aspek.</t>
  </si>
  <si>
    <t>UPPS memiliki bukti yang sahih terkait kerjasama yang ada telah memenuhi aspek 1 dan 2.</t>
  </si>
  <si>
    <t>UPPS memiliki bukti yang sahih terkait kerjasama yang ada telah memenuhi aspek 1.</t>
  </si>
  <si>
    <t>UPPS tidak memiliki bukti pelaksanaan kerjasama.</t>
  </si>
  <si>
    <t>A. Kerjasama perguruan tinggi di bidang pendidikan, penelitian dan PkM dalam 3 tahun terakhir.
Tabel 1 LKPS</t>
  </si>
  <si>
    <r>
      <rPr>
        <sz val="11"/>
        <color theme="1"/>
        <rFont val="Calibri"/>
        <charset val="134"/>
        <scheme val="minor"/>
      </rPr>
      <t>N</t>
    </r>
    <r>
      <rPr>
        <vertAlign val="subscript"/>
        <sz val="11"/>
        <color theme="1"/>
        <rFont val="Calibri"/>
        <charset val="134"/>
        <scheme val="minor"/>
      </rPr>
      <t>1</t>
    </r>
    <r>
      <rPr>
        <sz val="11"/>
        <color theme="1"/>
        <rFont val="Calibri"/>
        <charset val="134"/>
        <scheme val="minor"/>
      </rPr>
      <t xml:space="preserve"> = Jumlah kerjasama pendidikan.</t>
    </r>
  </si>
  <si>
    <t>borang</t>
  </si>
  <si>
    <r>
      <rPr>
        <sz val="11"/>
        <color theme="1"/>
        <rFont val="Calibri"/>
        <charset val="134"/>
        <scheme val="minor"/>
      </rPr>
      <t>N</t>
    </r>
    <r>
      <rPr>
        <vertAlign val="subscript"/>
        <sz val="11"/>
        <color theme="1"/>
        <rFont val="Calibri"/>
        <charset val="134"/>
        <scheme val="minor"/>
      </rPr>
      <t>2</t>
    </r>
    <r>
      <rPr>
        <sz val="11"/>
        <color theme="1"/>
        <rFont val="Calibri"/>
        <charset val="134"/>
        <scheme val="minor"/>
      </rPr>
      <t xml:space="preserve"> = Jumlah kerjasama penelitian.</t>
    </r>
  </si>
  <si>
    <r>
      <rPr>
        <sz val="11"/>
        <color theme="1"/>
        <rFont val="Calibri"/>
        <charset val="134"/>
        <scheme val="minor"/>
      </rPr>
      <t>N</t>
    </r>
    <r>
      <rPr>
        <vertAlign val="subscript"/>
        <sz val="11"/>
        <color theme="1"/>
        <rFont val="Calibri"/>
        <charset val="134"/>
        <scheme val="minor"/>
      </rPr>
      <t>3</t>
    </r>
    <r>
      <rPr>
        <sz val="11"/>
        <color theme="1"/>
        <rFont val="Calibri"/>
        <charset val="134"/>
        <scheme val="minor"/>
      </rPr>
      <t xml:space="preserve"> = Jumlah kerjasama pengabdian kepada masyarakat.</t>
    </r>
  </si>
  <si>
    <r>
      <rPr>
        <sz val="11"/>
        <color indexed="8"/>
        <rFont val="Calibri"/>
        <charset val="134"/>
        <scheme val="minor"/>
      </rPr>
      <t>N</t>
    </r>
    <r>
      <rPr>
        <vertAlign val="subscript"/>
        <sz val="11"/>
        <color theme="1"/>
        <rFont val="Calibri"/>
        <charset val="134"/>
        <scheme val="minor"/>
      </rPr>
      <t>DTPS</t>
    </r>
    <r>
      <rPr>
        <sz val="11"/>
        <color theme="1"/>
        <rFont val="Calibri"/>
        <charset val="134"/>
        <scheme val="minor"/>
      </rPr>
      <t xml:space="preserve"> = Jumlah dosen tetap yang ditugaskan sebagai pengampu mata kuliah dengan bidang keahlian yang sesuai dengan kompetensi inti program studi yang diakreditasi.</t>
    </r>
  </si>
  <si>
    <t>RK = ((a x N1) + (b x N2) + (c x N3)) / NDTPS</t>
  </si>
  <si>
    <t>a =</t>
  </si>
  <si>
    <t xml:space="preserve">b = </t>
  </si>
  <si>
    <t xml:space="preserve">c = </t>
  </si>
  <si>
    <t>bRK =</t>
  </si>
  <si>
    <t>Skor A</t>
  </si>
  <si>
    <t>B. Kerjasama tingkat internasional, nasional, wilayah/lokal yang relevan dengan program studi dan dikelola oleh UPPS dalam 3 tahun terakhir.
Tabel 1 LKPS</t>
  </si>
  <si>
    <r>
      <rPr>
        <sz val="11"/>
        <color theme="1"/>
        <rFont val="Calibri"/>
        <charset val="134"/>
        <scheme val="minor"/>
      </rPr>
      <t>N</t>
    </r>
    <r>
      <rPr>
        <vertAlign val="subscript"/>
        <sz val="11"/>
        <color theme="1"/>
        <rFont val="Calibri"/>
        <charset val="134"/>
        <scheme val="minor"/>
      </rPr>
      <t>I</t>
    </r>
    <r>
      <rPr>
        <sz val="11"/>
        <color theme="1"/>
        <rFont val="Calibri"/>
        <charset val="134"/>
        <scheme val="minor"/>
      </rPr>
      <t xml:space="preserve"> = Jumlah kerjasama tingkat internasional.</t>
    </r>
  </si>
  <si>
    <r>
      <rPr>
        <sz val="11"/>
        <color theme="1"/>
        <rFont val="Calibri"/>
        <charset val="134"/>
        <scheme val="minor"/>
      </rPr>
      <t>N</t>
    </r>
    <r>
      <rPr>
        <vertAlign val="subscript"/>
        <sz val="11"/>
        <color theme="1"/>
        <rFont val="Calibri"/>
        <charset val="134"/>
        <scheme val="minor"/>
      </rPr>
      <t>N</t>
    </r>
    <r>
      <rPr>
        <sz val="11"/>
        <color theme="1"/>
        <rFont val="Calibri"/>
        <charset val="134"/>
        <scheme val="minor"/>
      </rPr>
      <t xml:space="preserve"> = Jumlah kerjasama tingkat nasional.</t>
    </r>
  </si>
  <si>
    <r>
      <rPr>
        <sz val="11"/>
        <color theme="1"/>
        <rFont val="Calibri"/>
        <charset val="134"/>
        <scheme val="minor"/>
      </rPr>
      <t>N</t>
    </r>
    <r>
      <rPr>
        <vertAlign val="subscript"/>
        <sz val="11"/>
        <color theme="1"/>
        <rFont val="Calibri"/>
        <charset val="134"/>
        <scheme val="minor"/>
      </rPr>
      <t>W</t>
    </r>
    <r>
      <rPr>
        <sz val="11"/>
        <color theme="1"/>
        <rFont val="Calibri"/>
        <charset val="134"/>
        <scheme val="minor"/>
      </rPr>
      <t xml:space="preserve"> = Jumlah kerjasama tingkat wilayah/lokal.</t>
    </r>
  </si>
  <si>
    <t xml:space="preserve">4: NI ≥ a </t>
  </si>
  <si>
    <r>
      <rPr>
        <sz val="11"/>
        <color theme="0"/>
        <rFont val="Calibri"/>
        <charset val="134"/>
        <scheme val="minor"/>
      </rPr>
      <t xml:space="preserve">3-4: NI &lt; a DAN NN </t>
    </r>
    <r>
      <rPr>
        <sz val="11"/>
        <color theme="0"/>
        <rFont val="Calibri"/>
        <charset val="134"/>
      </rPr>
      <t>≥</t>
    </r>
    <r>
      <rPr>
        <sz val="11"/>
        <color theme="0"/>
        <rFont val="Calibri"/>
        <charset val="134"/>
        <scheme val="minor"/>
      </rPr>
      <t xml:space="preserve"> b</t>
    </r>
  </si>
  <si>
    <t>2-3: 0 &lt; NI &lt; a DAN 0 &lt; NN &lt; b</t>
  </si>
  <si>
    <t>2: NI = 0 DAN NN = 0 DAN NW ≥ c</t>
  </si>
  <si>
    <t>0-2: NI = 0 DAN NN = 0 DAN NW &lt; c</t>
  </si>
  <si>
    <t>Skor B</t>
  </si>
  <si>
    <t>Skor = ((2 x A) + B) / 3</t>
  </si>
  <si>
    <t>C.2.5 
Indikator Kinerja Tambahan</t>
  </si>
  <si>
    <t>Pelampauan SN-DIKTI (indikator kinerja tambahan) yang ditetapkan oleh UPPS pada tiap kriteria.</t>
  </si>
  <si>
    <t>UPPS menetapkan indikator kinerja tambahan berdasarkan standar pendidikan tinggi yang ditetapkan perguruan tinggi. Indikator kinerja tambahan mencakup seluruh kriteria serta menunjukkan daya saing UPPS dan program studi di tingkat inernasional. Data indikator kinerja tambahan telah diukur, dimonitor, dikaji, dan dianalisis untuk perbaikan berkelanjutan.</t>
  </si>
  <si>
    <t>UPPS menetapkan indikator kinerja tambahan berdasarkan standar pendidikan tinggi yang ditetapkan perguruan tinggi. Indikator kinerja tambahan mencakup sebagian kriteria serta menunjukkan daya saing UPPS dan program studi di tingkat nasional. Data indikator kinerja tambahan telah diukur, dimonitor, dikaji, dan dianalisis untuk perbaikan berkelanjutan.</t>
  </si>
  <si>
    <t>UPPS tidak menetapkan indikator kinerja tambahan.</t>
  </si>
  <si>
    <t>C.2.6 
Evaluasi Capaian Kinerja</t>
  </si>
  <si>
    <t>Analisis keberhasilan dan/atau ketidakberhasilan pencapaian kinerja yang telah ditetapkan institusi yang memenuhi 2 aspek sebagai berikut: 
1) capaian kinerja harus diukur dengan metoda yang tepat, dan hasilnya dianalisis serta dievaluasi, dan
2) analisis terhadap capaian kinerja mencakup identifikasi akar masalah, faktor pendukung keberhasilan dan faktor penghambat ketercapaian standar, dan deskripsi singkat tindak lanjut yang akan dilakukan.</t>
  </si>
  <si>
    <t>Analisis pencapaian kinerja UPPS di tiap kriteria memenuhi 2 aspek, dilaksanakan setiap tahun dan hasilnya dipublikasikan kepada para pemangku kepentingan.</t>
  </si>
  <si>
    <t>Analisis pencapaian kinerja UPPS di tiap kriteria memenuhi 2 aspek dan dilaksanakan setiap tahun.</t>
  </si>
  <si>
    <t xml:space="preserve">Analisis pencapaian kinerja UPPS di tiap kriteria memenuhi 2 aspek. </t>
  </si>
  <si>
    <t xml:space="preserve">UPPS memiliki laporan pencapaian kinerja namun belum dianalisis dan dievaluasi. </t>
  </si>
  <si>
    <t xml:space="preserve">UPPS tidak memiliki laporan pencapaian kinerja. </t>
  </si>
  <si>
    <t>C.2.7
Penjaminan Mutu</t>
  </si>
  <si>
    <r>
      <rPr>
        <sz val="11"/>
        <color indexed="8"/>
        <rFont val="Calibri"/>
        <charset val="134"/>
        <scheme val="minor"/>
      </rPr>
      <t xml:space="preserve">Keterlaksanaan Sistem Penjaminan Mutu Internal (akademik dan nonakademik) yang dibuktikan dengan keberadaan 5 aspek:
1) dokumen legal pembentukan unsur pelaksana penjaminan mutu.
2) ketersediaan dokumen mutu: kebijakan SPMI, manual SPMI, standar SPMI, dan formulir SPMI.
3) terlaksananya siklus penjaminan mutu (siklus PPEPP).
4) bukti sahih efektivitas pelaksanaan penjaminan mutu.
5) memiliki </t>
    </r>
    <r>
      <rPr>
        <i/>
        <sz val="11"/>
        <color rgb="FF000000"/>
        <rFont val="Calibri"/>
        <charset val="134"/>
        <scheme val="minor"/>
      </rPr>
      <t>external benchmarking</t>
    </r>
    <r>
      <rPr>
        <sz val="11"/>
        <color indexed="8"/>
        <rFont val="Calibri"/>
        <charset val="134"/>
        <scheme val="minor"/>
      </rPr>
      <t xml:space="preserve"> dalam peningkatan mutu.</t>
    </r>
  </si>
  <si>
    <t>UPPS telah melaksanakan SPMI yang memenuhi 5 aspek.</t>
  </si>
  <si>
    <t xml:space="preserve">UPPS telah melaksanakan SPMI yang memenuhi aspek nomor 1 sampai dengan 4. </t>
  </si>
  <si>
    <t>UPPS telah melaksanakan SPMI yang memenuhi aspek nomor 1 sampai dengan 3.</t>
  </si>
  <si>
    <t>UPPS telah melaksanakan SPMI yang memenuhi aspek nomor 1 dan 2, serta siklus kegiatan SPMI baru dilaksanakan pada tahapan penetapan standar dan pelaksanaan standar pendidikan tinggi.</t>
  </si>
  <si>
    <t>UPPS telah memiliki dokumen legal pembentukan unsur pelaksana penjaminan mutu tanpa pelaksanaan SPMI.</t>
  </si>
  <si>
    <t>C.2.8
Kepuasan pemangku kepentingan</t>
  </si>
  <si>
    <t>Pengukuran kepuasan layanan manajemen terhadap para pemangku kepentingan: mahasiswa, dosen, tenaga kependidikan, lulusan, pengguna dan mitra yang memenuhi aspek-aspek berikut:
1) menggunakan instrumen kepuasan yang sahih, andal, mudah digunakan,
2) dilaksanakan secara berkala, serta datanya terekam secara komprehensif, 
3) dianalisis dengan metode yang tepat serta bermanfaat untuk pengambilan keputusan,
4) tingkat kepuasan dan umpan balik ditindaklanjuti untuk perbaikan dan peningkatan mutu luaran secara berkala dan tersistem,
5) dilakukan review terhadap pelaksanaan pengukuran kepuasan dosen dan mahasiswa, serta
6) hasilnya dipublikasikan dan mudah diakses oleh dosen dan mahasiswa.</t>
  </si>
  <si>
    <t>UPPS melakukan pengukuran kepuasan kepada seluruh pemangku kepentingan terhadap layanan manajemen yang memenuhi seluruh aspek.</t>
  </si>
  <si>
    <t>UPPS melakukan pengukuran kepuasan kepada seluruh pemangku kepentingan terhadap layanan manajemen yang memenuhi aspek 1 s.d 4 dan salah satu dari aspek 5 atau aspek 6.</t>
  </si>
  <si>
    <t>UPPS melakukan pengukuran kepuasan kepada seluruh pemangku kepentingan terhadap layanan manajemen yang memenuhi aspek 1 s.d 4.</t>
  </si>
  <si>
    <t>UPPS melakukan pengukuran kepuasan kepada sebagian pemangku kepentingan terhadap layanan manajemen yang memenuhi aspek 1 s.d. 4.</t>
  </si>
  <si>
    <t>UPPS tidak melakukan pengukuran kepuasan layanan manajemen.</t>
  </si>
  <si>
    <r>
      <rPr>
        <b/>
        <sz val="11"/>
        <color theme="1"/>
        <rFont val="Calibri"/>
        <charset val="134"/>
        <scheme val="minor"/>
      </rPr>
      <t>C.3
Mahasiswa</t>
    </r>
    <r>
      <rPr>
        <sz val="11"/>
        <color theme="1"/>
        <rFont val="Calibri"/>
        <charset val="134"/>
        <scheme val="minor"/>
      </rPr>
      <t xml:space="preserve">
C.3.4 
Indikator Kinerja Utama
C.3.4.a) 
Kualitas Input Mahasiswa</t>
    </r>
  </si>
  <si>
    <t>Metoda rekrutmen dan keketatan seleksi.
Tabel 2.a LKPS</t>
  </si>
  <si>
    <t>Pilih kelompok program studi berdasarkan jumlah kebutuhan lulusan sesuai pilihan yang tersedia.
1: Tinggi; 2: Rendah.</t>
  </si>
  <si>
    <t>Tinggi</t>
  </si>
  <si>
    <t>1: Jumlah kebutuhan lulusan tinggi</t>
  </si>
  <si>
    <t>2: Jumlah kebutuhan lulusan rendah</t>
  </si>
  <si>
    <t>Rendah</t>
  </si>
  <si>
    <t>Untuk program studi dengan jumlah kebutuhan lulusan tinggi berlaku perhitungan Skor sebagai berikut:</t>
  </si>
  <si>
    <r>
      <rPr>
        <sz val="11"/>
        <color indexed="8"/>
        <rFont val="Calibri"/>
        <charset val="134"/>
        <scheme val="minor"/>
      </rPr>
      <t>N</t>
    </r>
    <r>
      <rPr>
        <vertAlign val="subscript"/>
        <sz val="11"/>
        <color rgb="FF000000"/>
        <rFont val="Calibri"/>
        <charset val="134"/>
        <scheme val="minor"/>
      </rPr>
      <t>A</t>
    </r>
    <r>
      <rPr>
        <sz val="11"/>
        <color indexed="8"/>
        <rFont val="Calibri"/>
        <charset val="134"/>
        <scheme val="minor"/>
      </rPr>
      <t xml:space="preserve"> = Jumlah calon mahasiswa yang ikut seleksi.</t>
    </r>
  </si>
  <si>
    <r>
      <rPr>
        <sz val="11"/>
        <color indexed="8"/>
        <rFont val="Calibri"/>
        <charset val="134"/>
        <scheme val="minor"/>
      </rPr>
      <t>N</t>
    </r>
    <r>
      <rPr>
        <vertAlign val="subscript"/>
        <sz val="11"/>
        <color rgb="FF000000"/>
        <rFont val="Calibri"/>
        <charset val="134"/>
        <scheme val="minor"/>
      </rPr>
      <t>B</t>
    </r>
    <r>
      <rPr>
        <sz val="11"/>
        <color indexed="8"/>
        <rFont val="Calibri"/>
        <charset val="134"/>
        <scheme val="minor"/>
      </rPr>
      <t xml:space="preserve"> = Jumlah calon mahasiswa yang lulus seleksi.</t>
    </r>
  </si>
  <si>
    <r>
      <rPr>
        <sz val="11"/>
        <color indexed="8"/>
        <rFont val="Calibri"/>
        <charset val="134"/>
        <scheme val="minor"/>
      </rPr>
      <t>Rasio = N</t>
    </r>
    <r>
      <rPr>
        <vertAlign val="subscript"/>
        <sz val="11"/>
        <color theme="1"/>
        <rFont val="Calibri"/>
        <charset val="134"/>
        <scheme val="minor"/>
      </rPr>
      <t>A</t>
    </r>
    <r>
      <rPr>
        <sz val="11"/>
        <color theme="1"/>
        <rFont val="Calibri"/>
        <charset val="134"/>
        <scheme val="minor"/>
      </rPr>
      <t xml:space="preserve"> / N</t>
    </r>
    <r>
      <rPr>
        <vertAlign val="subscript"/>
        <sz val="11"/>
        <color theme="1"/>
        <rFont val="Calibri"/>
        <charset val="134"/>
        <scheme val="minor"/>
      </rPr>
      <t>B</t>
    </r>
  </si>
  <si>
    <t>b =</t>
  </si>
  <si>
    <t>Untuk program studi dengan jumlah kebutuhan lulusan rendah berlaku pemberian Skor sesuai kondisi berikut:</t>
  </si>
  <si>
    <t>Jika selalu ada mahasiswa baru terdaftar pada TS-4 s.d. TS.</t>
  </si>
  <si>
    <t>Tidak ada skor antara 2 dan 4.</t>
  </si>
  <si>
    <t>Jika tidak selalu ada mahasiswa baru terdaftar pada TS-4 s.d. TS.</t>
  </si>
  <si>
    <t>Tidak ada skor antara 0 dan 2.</t>
  </si>
  <si>
    <t>Jika tidak ada mahasiswa baru terdaftar pada TS-4 s.d. TS.</t>
  </si>
  <si>
    <t>C.3.4.b) Daya Tarik Program Studi</t>
  </si>
  <si>
    <t>A. Peningkatan animo calon mahasiswa.
Tabel 2.a LKPS</t>
  </si>
  <si>
    <t>UPPS melakukan upaya untuk meningkatkan animo calon mahasiswa yang ditunjukkan dengan adanya tren peningkatan jumlah pendaftar secara signifikan (&gt; 10%) dalam 3 tahun terakhir.</t>
  </si>
  <si>
    <t>UPPS melakukan upaya untuk meningkatkan animo calon mahasiswa yang ditunjukkan dengan adanya tren peningkatan jumlah pendaftar dalam 3 tahun terakhir.</t>
  </si>
  <si>
    <t xml:space="preserve">UPPS melakukan upaya untuk meningkatkan animo calon mahasiswa dalam 3 tahun terakhir dengan tren tetap. </t>
  </si>
  <si>
    <t xml:space="preserve">UPPS melakukan upaya untuk meningkatkan animo calon mahasiswa dalam 3 tahun terakhir namun trennya menurun. </t>
  </si>
  <si>
    <t xml:space="preserve">UPPS tidak melakukan upaya untuk meningkatkan animo calon mahasiswa dalam 3 tahun terakhir. </t>
  </si>
  <si>
    <t>B. Mahasiswa asing.
Tabel 2.b LKPS</t>
  </si>
  <si>
    <r>
      <rPr>
        <sz val="11"/>
        <rFont val="Calibri"/>
        <charset val="134"/>
        <scheme val="minor"/>
      </rPr>
      <t>N</t>
    </r>
    <r>
      <rPr>
        <vertAlign val="subscript"/>
        <sz val="11"/>
        <rFont val="Calibri"/>
        <charset val="134"/>
        <scheme val="minor"/>
      </rPr>
      <t>MUPPS</t>
    </r>
    <r>
      <rPr>
        <sz val="11"/>
        <rFont val="Calibri"/>
        <charset val="134"/>
        <scheme val="minor"/>
      </rPr>
      <t xml:space="preserve"> = Jumlah mahasiswa aktif di UPPS dalam 3 tahun terakhir (TS-2 s.d. TS).</t>
    </r>
  </si>
  <si>
    <r>
      <rPr>
        <sz val="11"/>
        <rFont val="Calibri"/>
        <charset val="134"/>
        <scheme val="minor"/>
      </rPr>
      <t>N</t>
    </r>
    <r>
      <rPr>
        <vertAlign val="subscript"/>
        <sz val="11"/>
        <rFont val="Calibri"/>
        <charset val="134"/>
        <scheme val="minor"/>
      </rPr>
      <t>MAFT</t>
    </r>
    <r>
      <rPr>
        <sz val="11"/>
        <rFont val="Calibri"/>
        <charset val="134"/>
        <scheme val="minor"/>
      </rPr>
      <t xml:space="preserve"> = Jumlah mahasiswa asing penuh waktu dalam 3 tahun terakhir (TS-2 s.d. TS)</t>
    </r>
  </si>
  <si>
    <r>
      <rPr>
        <sz val="11"/>
        <rFont val="Calibri"/>
        <charset val="134"/>
        <scheme val="minor"/>
      </rPr>
      <t>N</t>
    </r>
    <r>
      <rPr>
        <vertAlign val="subscript"/>
        <sz val="11"/>
        <rFont val="Calibri"/>
        <charset val="134"/>
        <scheme val="minor"/>
      </rPr>
      <t>MAPT</t>
    </r>
    <r>
      <rPr>
        <sz val="11"/>
        <rFont val="Calibri"/>
        <charset val="134"/>
        <scheme val="minor"/>
      </rPr>
      <t xml:space="preserve"> = Jumlah mahasiswa asing paruh waktu dalam 3 tahun terakhir (TS-2 s.d. TS)</t>
    </r>
  </si>
  <si>
    <r>
      <rPr>
        <sz val="11"/>
        <rFont val="Calibri"/>
        <charset val="134"/>
        <scheme val="minor"/>
      </rPr>
      <t>P</t>
    </r>
    <r>
      <rPr>
        <vertAlign val="subscript"/>
        <sz val="11"/>
        <rFont val="Calibri"/>
        <charset val="134"/>
        <scheme val="minor"/>
      </rPr>
      <t>MA</t>
    </r>
    <r>
      <rPr>
        <sz val="11"/>
        <rFont val="Calibri"/>
        <charset val="134"/>
        <scheme val="minor"/>
      </rPr>
      <t xml:space="preserve"> = (N</t>
    </r>
    <r>
      <rPr>
        <vertAlign val="subscript"/>
        <sz val="11"/>
        <rFont val="Calibri"/>
        <charset val="134"/>
        <scheme val="minor"/>
      </rPr>
      <t>MAFT</t>
    </r>
    <r>
      <rPr>
        <sz val="11"/>
        <rFont val="Calibri"/>
        <charset val="134"/>
        <scheme val="minor"/>
      </rPr>
      <t xml:space="preserve"> + N</t>
    </r>
    <r>
      <rPr>
        <vertAlign val="subscript"/>
        <sz val="11"/>
        <rFont val="Calibri"/>
        <charset val="134"/>
        <scheme val="minor"/>
      </rPr>
      <t>MAPT</t>
    </r>
    <r>
      <rPr>
        <sz val="11"/>
        <rFont val="Calibri"/>
        <charset val="134"/>
        <scheme val="minor"/>
      </rPr>
      <t>) / N</t>
    </r>
    <r>
      <rPr>
        <vertAlign val="subscript"/>
        <sz val="11"/>
        <rFont val="Calibri"/>
        <charset val="134"/>
        <scheme val="minor"/>
      </rPr>
      <t>MUPPS</t>
    </r>
  </si>
  <si>
    <t>C.3.4.c) 
Layanan Kemahasiswaan</t>
  </si>
  <si>
    <t>A. Ketersediaan layanan kemahasiswaan di bidang: 
1) penalaran, minat dan bakat,
2) kesejahteraan (bimbingan dan konseling, layanan beasiswa, dan layanan kesehatan), dan
3) bimbingan karir dan kewirausahaan.</t>
  </si>
  <si>
    <t>Jenis layanan mencakup bidang penalaran, minat dan bakat,  kesejahteraan (bimbingan dan konseling, layanan beasiswa, dan layanan kesehatan), dan bimbingan karir dan kewirausahaan.</t>
  </si>
  <si>
    <t>Jenis layanan mencakup bidang penalaran, minat dan bakat, dan kesejahteraan (bimbingan dan konseling, layanan beasiswa, dan layanan kesehatan).</t>
  </si>
  <si>
    <t>Jenis layanan mencakup bidang penalaran, minat dan bakat mahasiswa.</t>
  </si>
  <si>
    <t>Jenis layanan hanya mencakup sebagian bidang penalaran, minat atau bakat.</t>
  </si>
  <si>
    <t>Tidak memiliki layanan kemahasiswaan.</t>
  </si>
  <si>
    <t>B. Akses dan mutu layanan kemahasiswaan.</t>
  </si>
  <si>
    <t>Ada kemudahan akses dan mutu layanan yang baik untuk bidang penalaran, minat bakat mahasiswa dan semua jenis layanan kesehatan.</t>
  </si>
  <si>
    <t>Ada kemudahan akses dan mutu layanan yang baik untuk bidang penalaran, minat bakat mahasiswa dan sebagian layanan kesehatan.</t>
  </si>
  <si>
    <t xml:space="preserve">Ada kemudahan akses dan mutu layanan yang baik untuk bidang penalaran dan minat bakat mahasiswa. </t>
  </si>
  <si>
    <t xml:space="preserve">Mutu layanan kurang baik untuk bidang penalaran atau minat bakat mahasiswa. </t>
  </si>
  <si>
    <r>
      <rPr>
        <b/>
        <sz val="11"/>
        <color theme="1"/>
        <rFont val="Calibri"/>
        <charset val="134"/>
        <scheme val="minor"/>
      </rPr>
      <t>C.4. Sumber Daya Manusia</t>
    </r>
    <r>
      <rPr>
        <sz val="11"/>
        <color theme="1"/>
        <rFont val="Calibri"/>
        <charset val="134"/>
        <scheme val="minor"/>
      </rPr>
      <t xml:space="preserve">
C.4.4. Indikator Kinerja Utama
C.4.4.a) Profil Dosen</t>
    </r>
  </si>
  <si>
    <t>Kecukupan jumlah DTPS.
Tabel 3.a.1) LKPS</t>
  </si>
  <si>
    <t>b1 =</t>
  </si>
  <si>
    <t>b2 =</t>
  </si>
  <si>
    <t>Kualifikasi akademik DTPS.
Tabel 3.a.1) LKPS</t>
  </si>
  <si>
    <r>
      <rPr>
        <sz val="11"/>
        <color indexed="8"/>
        <rFont val="Calibri"/>
        <charset val="134"/>
        <scheme val="minor"/>
      </rPr>
      <t>N</t>
    </r>
    <r>
      <rPr>
        <vertAlign val="subscript"/>
        <sz val="11"/>
        <color theme="1"/>
        <rFont val="Calibri"/>
        <charset val="134"/>
        <scheme val="minor"/>
      </rPr>
      <t>DS3</t>
    </r>
    <r>
      <rPr>
        <sz val="11"/>
        <color theme="1"/>
        <rFont val="Calibri"/>
        <charset val="134"/>
        <scheme val="minor"/>
      </rPr>
      <t xml:space="preserve"> = Jumlah DTPS yang berpendidikan tertinggi Doktor/Doktor Terapan/Subspesialis.</t>
    </r>
  </si>
  <si>
    <r>
      <rPr>
        <sz val="11"/>
        <color indexed="8"/>
        <rFont val="Calibri"/>
        <charset val="134"/>
        <scheme val="minor"/>
      </rPr>
      <t>P</t>
    </r>
    <r>
      <rPr>
        <vertAlign val="subscript"/>
        <sz val="11"/>
        <color theme="1"/>
        <rFont val="Calibri"/>
        <charset val="134"/>
        <scheme val="minor"/>
      </rPr>
      <t>DS3</t>
    </r>
    <r>
      <rPr>
        <sz val="11"/>
        <color theme="1"/>
        <rFont val="Calibri"/>
        <charset val="134"/>
        <scheme val="minor"/>
      </rPr>
      <t xml:space="preserve"> = (N</t>
    </r>
    <r>
      <rPr>
        <vertAlign val="subscript"/>
        <sz val="11"/>
        <color theme="1"/>
        <rFont val="Calibri"/>
        <charset val="134"/>
        <scheme val="minor"/>
      </rPr>
      <t>DS3</t>
    </r>
    <r>
      <rPr>
        <sz val="11"/>
        <color theme="1"/>
        <rFont val="Calibri"/>
        <charset val="134"/>
        <scheme val="minor"/>
      </rPr>
      <t xml:space="preserve"> / N</t>
    </r>
    <r>
      <rPr>
        <vertAlign val="subscript"/>
        <sz val="11"/>
        <color theme="1"/>
        <rFont val="Calibri"/>
        <charset val="134"/>
        <scheme val="minor"/>
      </rPr>
      <t>DTPS</t>
    </r>
    <r>
      <rPr>
        <sz val="11"/>
        <color theme="1"/>
        <rFont val="Calibri"/>
        <charset val="134"/>
        <scheme val="minor"/>
      </rPr>
      <t>) x 100%</t>
    </r>
  </si>
  <si>
    <t>Jabatan akademik DTPS.
Tabel 3.a.1) LKPS</t>
  </si>
  <si>
    <r>
      <rPr>
        <sz val="11"/>
        <color indexed="8"/>
        <rFont val="Calibri"/>
        <charset val="134"/>
        <scheme val="minor"/>
      </rPr>
      <t>N</t>
    </r>
    <r>
      <rPr>
        <vertAlign val="subscript"/>
        <sz val="11"/>
        <color theme="1"/>
        <rFont val="Calibri"/>
        <charset val="134"/>
        <scheme val="minor"/>
      </rPr>
      <t>DGB</t>
    </r>
    <r>
      <rPr>
        <sz val="11"/>
        <color theme="1"/>
        <rFont val="Calibri"/>
        <charset val="134"/>
        <scheme val="minor"/>
      </rPr>
      <t xml:space="preserve"> = Jumlah DTPS yang memiliki jabatan akademik Guru Besar.</t>
    </r>
  </si>
  <si>
    <r>
      <rPr>
        <sz val="11"/>
        <color indexed="8"/>
        <rFont val="Calibri"/>
        <charset val="134"/>
        <scheme val="minor"/>
      </rPr>
      <t>N</t>
    </r>
    <r>
      <rPr>
        <vertAlign val="subscript"/>
        <sz val="11"/>
        <color theme="1"/>
        <rFont val="Calibri"/>
        <charset val="134"/>
        <scheme val="minor"/>
      </rPr>
      <t>DLK</t>
    </r>
    <r>
      <rPr>
        <sz val="11"/>
        <color theme="1"/>
        <rFont val="Calibri"/>
        <charset val="134"/>
        <scheme val="minor"/>
      </rPr>
      <t xml:space="preserve"> = Jumlah DTPS yang memiliki jabatan akademik Lektor Kepala.</t>
    </r>
  </si>
  <si>
    <r>
      <rPr>
        <sz val="11"/>
        <color indexed="8"/>
        <rFont val="Calibri"/>
        <charset val="134"/>
        <scheme val="minor"/>
      </rPr>
      <t>N</t>
    </r>
    <r>
      <rPr>
        <vertAlign val="subscript"/>
        <sz val="11"/>
        <color theme="1"/>
        <rFont val="Calibri"/>
        <charset val="134"/>
        <scheme val="minor"/>
      </rPr>
      <t>DL</t>
    </r>
    <r>
      <rPr>
        <sz val="11"/>
        <color theme="1"/>
        <rFont val="Calibri"/>
        <charset val="134"/>
        <scheme val="minor"/>
      </rPr>
      <t xml:space="preserve"> = Jumlah DTPS tetap yang memiliki jabatan akademik Lektor.</t>
    </r>
  </si>
  <si>
    <r>
      <rPr>
        <sz val="11"/>
        <color indexed="8"/>
        <rFont val="Calibri"/>
        <charset val="134"/>
        <scheme val="minor"/>
      </rPr>
      <t>P</t>
    </r>
    <r>
      <rPr>
        <vertAlign val="subscript"/>
        <sz val="11"/>
        <color theme="1"/>
        <rFont val="Calibri"/>
        <charset val="134"/>
        <scheme val="minor"/>
      </rPr>
      <t>GBLKL</t>
    </r>
    <r>
      <rPr>
        <sz val="11"/>
        <color theme="1"/>
        <rFont val="Calibri"/>
        <charset val="134"/>
        <scheme val="minor"/>
      </rPr>
      <t xml:space="preserve"> = ((N</t>
    </r>
    <r>
      <rPr>
        <vertAlign val="subscript"/>
        <sz val="11"/>
        <color theme="1"/>
        <rFont val="Calibri"/>
        <charset val="134"/>
        <scheme val="minor"/>
      </rPr>
      <t>DGB</t>
    </r>
    <r>
      <rPr>
        <sz val="11"/>
        <color theme="1"/>
        <rFont val="Calibri"/>
        <charset val="134"/>
        <scheme val="minor"/>
      </rPr>
      <t xml:space="preserve"> + N</t>
    </r>
    <r>
      <rPr>
        <vertAlign val="subscript"/>
        <sz val="11"/>
        <color theme="1"/>
        <rFont val="Calibri"/>
        <charset val="134"/>
        <scheme val="minor"/>
      </rPr>
      <t>DLK</t>
    </r>
    <r>
      <rPr>
        <sz val="11"/>
        <color theme="1"/>
        <rFont val="Calibri"/>
        <charset val="134"/>
        <scheme val="minor"/>
      </rPr>
      <t xml:space="preserve"> + N</t>
    </r>
    <r>
      <rPr>
        <vertAlign val="subscript"/>
        <sz val="11"/>
        <color theme="1"/>
        <rFont val="Calibri"/>
        <charset val="134"/>
        <scheme val="minor"/>
      </rPr>
      <t>DL</t>
    </r>
    <r>
      <rPr>
        <sz val="11"/>
        <color theme="1"/>
        <rFont val="Calibri"/>
        <charset val="134"/>
        <scheme val="minor"/>
      </rPr>
      <t>) / N</t>
    </r>
    <r>
      <rPr>
        <vertAlign val="subscript"/>
        <sz val="11"/>
        <color theme="1"/>
        <rFont val="Calibri"/>
        <charset val="134"/>
        <scheme val="minor"/>
      </rPr>
      <t>DTPS</t>
    </r>
    <r>
      <rPr>
        <sz val="11"/>
        <color theme="1"/>
        <rFont val="Calibri"/>
        <charset val="134"/>
        <scheme val="minor"/>
      </rPr>
      <t>) x 100%</t>
    </r>
  </si>
  <si>
    <t>Rasio jumlah mahasiswa program studi terhadap jumlah DTPS.
Tabel 2.a LKPS dan Tabel 3.a.1) LKPS</t>
  </si>
  <si>
    <t>Pilih kelompok program studi sesuai pilihan yang tersedia.
1: Saintek (Sains Teknologi); 2: Soshum (Sosial Humaniora)</t>
  </si>
  <si>
    <t>Soshum</t>
  </si>
  <si>
    <t>1: Kelompok Sains Teknologi</t>
  </si>
  <si>
    <t>Saintek</t>
  </si>
  <si>
    <t>2: Kelompok Sosial Humaniora</t>
  </si>
  <si>
    <r>
      <rPr>
        <sz val="11"/>
        <rFont val="Calibri"/>
        <charset val="134"/>
        <scheme val="minor"/>
      </rPr>
      <t>N</t>
    </r>
    <r>
      <rPr>
        <vertAlign val="subscript"/>
        <sz val="11"/>
        <color theme="1"/>
        <rFont val="Calibri"/>
        <charset val="134"/>
        <scheme val="minor"/>
      </rPr>
      <t>M</t>
    </r>
    <r>
      <rPr>
        <sz val="11"/>
        <color theme="1"/>
        <rFont val="Calibri"/>
        <charset val="134"/>
        <scheme val="minor"/>
      </rPr>
      <t xml:space="preserve"> = Jumlah mahasiswa pada saat TS.</t>
    </r>
  </si>
  <si>
    <r>
      <rPr>
        <sz val="11"/>
        <color indexed="8"/>
        <rFont val="Calibri"/>
        <charset val="134"/>
        <scheme val="minor"/>
      </rPr>
      <t>R</t>
    </r>
    <r>
      <rPr>
        <vertAlign val="subscript"/>
        <sz val="11"/>
        <color theme="1"/>
        <rFont val="Calibri"/>
        <charset val="134"/>
        <scheme val="minor"/>
      </rPr>
      <t>MD</t>
    </r>
    <r>
      <rPr>
        <sz val="11"/>
        <color theme="1"/>
        <rFont val="Calibri"/>
        <charset val="134"/>
        <scheme val="minor"/>
      </rPr>
      <t xml:space="preserve"> = N</t>
    </r>
    <r>
      <rPr>
        <vertAlign val="subscript"/>
        <sz val="11"/>
        <color theme="1"/>
        <rFont val="Calibri"/>
        <charset val="134"/>
        <scheme val="minor"/>
      </rPr>
      <t>M</t>
    </r>
    <r>
      <rPr>
        <sz val="11"/>
        <color theme="1"/>
        <rFont val="Calibri"/>
        <charset val="134"/>
        <scheme val="minor"/>
      </rPr>
      <t xml:space="preserve"> / N</t>
    </r>
    <r>
      <rPr>
        <vertAlign val="subscript"/>
        <sz val="11"/>
        <color theme="1"/>
        <rFont val="Calibri"/>
        <charset val="134"/>
        <scheme val="minor"/>
      </rPr>
      <t>DTPS</t>
    </r>
  </si>
  <si>
    <t>Skor Saintek</t>
  </si>
  <si>
    <t>b3 =</t>
  </si>
  <si>
    <t>Skor Soshum</t>
  </si>
  <si>
    <t>Lihat nomor butir 14.
Kelompok program studi berdasarkan jumlah kebutuhan lulusan.</t>
  </si>
  <si>
    <t>Untuk program studi dengan jumlah kebutuhan lulusan rendah, berlaku Skor = Skor butir Kualitas Input Mahasiswa</t>
  </si>
  <si>
    <t xml:space="preserve">Penugasan DTPS sebagai pembimbing utama tugas akhir mahasiswa.
Tabel 3.a.2) LKPS </t>
  </si>
  <si>
    <r>
      <rPr>
        <sz val="11"/>
        <color indexed="8"/>
        <rFont val="Calibri"/>
        <charset val="134"/>
        <scheme val="minor"/>
      </rPr>
      <t>R</t>
    </r>
    <r>
      <rPr>
        <vertAlign val="subscript"/>
        <sz val="11"/>
        <color rgb="FF000000"/>
        <rFont val="Calibri"/>
        <charset val="134"/>
        <scheme val="minor"/>
      </rPr>
      <t>DPUPS</t>
    </r>
    <r>
      <rPr>
        <sz val="11"/>
        <color indexed="8"/>
        <rFont val="Calibri"/>
        <charset val="134"/>
        <scheme val="minor"/>
      </rPr>
      <t xml:space="preserve"> = Rata-rata jumlah mahasiswa yang dibimbing pada PS yang diakreditasi</t>
    </r>
  </si>
  <si>
    <r>
      <rPr>
        <sz val="11"/>
        <color indexed="8"/>
        <rFont val="Calibri"/>
        <charset val="134"/>
        <scheme val="minor"/>
      </rPr>
      <t>R</t>
    </r>
    <r>
      <rPr>
        <vertAlign val="subscript"/>
        <sz val="11"/>
        <color rgb="FF000000"/>
        <rFont val="Calibri"/>
        <charset val="134"/>
        <scheme val="minor"/>
      </rPr>
      <t>DPUL</t>
    </r>
    <r>
      <rPr>
        <sz val="11"/>
        <color indexed="8"/>
        <rFont val="Calibri"/>
        <charset val="134"/>
        <scheme val="minor"/>
      </rPr>
      <t xml:space="preserve"> = Rata-rata jumlah mahasiswa yang dibimbing pada PS lain di PT</t>
    </r>
  </si>
  <si>
    <r>
      <rPr>
        <sz val="11"/>
        <color indexed="8"/>
        <rFont val="Calibri"/>
        <charset val="134"/>
        <scheme val="minor"/>
      </rPr>
      <t>R</t>
    </r>
    <r>
      <rPr>
        <vertAlign val="subscript"/>
        <sz val="11"/>
        <color theme="1"/>
        <rFont val="Calibri"/>
        <charset val="134"/>
        <scheme val="minor"/>
      </rPr>
      <t>DPU</t>
    </r>
    <r>
      <rPr>
        <sz val="11"/>
        <color theme="1"/>
        <rFont val="Calibri"/>
        <charset val="134"/>
        <scheme val="minor"/>
      </rPr>
      <t xml:space="preserve"> </t>
    </r>
    <r>
      <rPr>
        <sz val="11"/>
        <color indexed="8"/>
        <rFont val="Calibri"/>
        <charset val="134"/>
        <scheme val="minor"/>
      </rPr>
      <t>= (RDUPS + RDPUL) / 2</t>
    </r>
  </si>
  <si>
    <t>Ekuivalensi Waktu Mengajar Penuh DTPS.
Tabel 3.a.3) LKPS</t>
  </si>
  <si>
    <r>
      <rPr>
        <sz val="11"/>
        <color indexed="8"/>
        <rFont val="Calibri"/>
        <charset val="134"/>
        <scheme val="minor"/>
      </rPr>
      <t>EWMP</t>
    </r>
    <r>
      <rPr>
        <vertAlign val="subscript"/>
        <sz val="11"/>
        <color rgb="FF000000"/>
        <rFont val="Calibri"/>
        <charset val="134"/>
        <scheme val="minor"/>
      </rPr>
      <t>DT</t>
    </r>
    <r>
      <rPr>
        <sz val="11"/>
        <color indexed="8"/>
        <rFont val="Calibri"/>
        <charset val="134"/>
        <scheme val="minor"/>
      </rPr>
      <t xml:space="preserve"> = Rata-rata EWMP DT per semester pada saat TS.</t>
    </r>
  </si>
  <si>
    <r>
      <rPr>
        <sz val="11"/>
        <color indexed="8"/>
        <rFont val="Calibri"/>
        <charset val="134"/>
        <scheme val="minor"/>
      </rPr>
      <t>EWMP</t>
    </r>
    <r>
      <rPr>
        <vertAlign val="subscript"/>
        <sz val="11"/>
        <color rgb="FF000000"/>
        <rFont val="Calibri"/>
        <charset val="134"/>
        <scheme val="minor"/>
      </rPr>
      <t>DTPS</t>
    </r>
    <r>
      <rPr>
        <sz val="11"/>
        <color indexed="8"/>
        <rFont val="Calibri"/>
        <charset val="134"/>
        <scheme val="minor"/>
      </rPr>
      <t xml:space="preserve"> = Rata-rata EWMP DTPS per semester pada saat TS.</t>
    </r>
  </si>
  <si>
    <r>
      <rPr>
        <sz val="11"/>
        <color indexed="8"/>
        <rFont val="Calibri"/>
        <charset val="134"/>
        <scheme val="minor"/>
      </rPr>
      <t>EWMP = EWMP</t>
    </r>
    <r>
      <rPr>
        <vertAlign val="subscript"/>
        <sz val="11"/>
        <color rgb="FF000000"/>
        <rFont val="Calibri"/>
        <charset val="134"/>
        <scheme val="minor"/>
      </rPr>
      <t>DTPS</t>
    </r>
  </si>
  <si>
    <t>b4 =</t>
  </si>
  <si>
    <t>Dosen tidak tetap.
Tabel 3.a.4) LKPS</t>
  </si>
  <si>
    <r>
      <rPr>
        <sz val="11"/>
        <color indexed="8"/>
        <rFont val="Calibri"/>
        <charset val="134"/>
        <scheme val="minor"/>
      </rPr>
      <t>N</t>
    </r>
    <r>
      <rPr>
        <vertAlign val="subscript"/>
        <sz val="11"/>
        <color theme="1"/>
        <rFont val="Calibri"/>
        <charset val="134"/>
        <scheme val="minor"/>
      </rPr>
      <t>DTT</t>
    </r>
    <r>
      <rPr>
        <sz val="11"/>
        <color theme="1"/>
        <rFont val="Calibri"/>
        <charset val="134"/>
        <scheme val="minor"/>
      </rPr>
      <t xml:space="preserve"> = Jumlah dosen tidak tetap yang ditugaskan sebagai pengampu mata kuliah di program studi yang diakreditasi.</t>
    </r>
  </si>
  <si>
    <r>
      <rPr>
        <sz val="11"/>
        <color indexed="8"/>
        <rFont val="Calibri"/>
        <charset val="134"/>
        <scheme val="minor"/>
      </rPr>
      <t>N</t>
    </r>
    <r>
      <rPr>
        <vertAlign val="subscript"/>
        <sz val="11"/>
        <color theme="1"/>
        <rFont val="Calibri"/>
        <charset val="134"/>
        <scheme val="minor"/>
      </rPr>
      <t>DT</t>
    </r>
    <r>
      <rPr>
        <sz val="11"/>
        <color theme="1"/>
        <rFont val="Calibri"/>
        <charset val="134"/>
        <scheme val="minor"/>
      </rPr>
      <t xml:space="preserve"> = Jumlah dosen tetap yang ditugaskan sebagai pengampu mata kuliah di program studi yang diakreditasi.</t>
    </r>
  </si>
  <si>
    <r>
      <rPr>
        <sz val="11"/>
        <color indexed="8"/>
        <rFont val="Calibri"/>
        <charset val="134"/>
        <scheme val="minor"/>
      </rPr>
      <t>P</t>
    </r>
    <r>
      <rPr>
        <vertAlign val="subscript"/>
        <sz val="11"/>
        <color theme="1"/>
        <rFont val="Calibri"/>
        <charset val="134"/>
        <scheme val="minor"/>
      </rPr>
      <t>DTT</t>
    </r>
    <r>
      <rPr>
        <sz val="11"/>
        <color theme="1"/>
        <rFont val="Calibri"/>
        <charset val="134"/>
        <scheme val="minor"/>
      </rPr>
      <t xml:space="preserve"> = (N</t>
    </r>
    <r>
      <rPr>
        <vertAlign val="subscript"/>
        <sz val="11"/>
        <color theme="1"/>
        <rFont val="Calibri"/>
        <charset val="134"/>
        <scheme val="minor"/>
      </rPr>
      <t>DTT</t>
    </r>
    <r>
      <rPr>
        <sz val="11"/>
        <color theme="1"/>
        <rFont val="Calibri"/>
        <charset val="134"/>
        <scheme val="minor"/>
      </rPr>
      <t xml:space="preserve"> / (N</t>
    </r>
    <r>
      <rPr>
        <vertAlign val="subscript"/>
        <sz val="11"/>
        <color theme="1"/>
        <rFont val="Calibri"/>
        <charset val="134"/>
        <scheme val="minor"/>
      </rPr>
      <t>DTT</t>
    </r>
    <r>
      <rPr>
        <sz val="11"/>
        <color theme="1"/>
        <rFont val="Calibri"/>
        <charset val="134"/>
        <scheme val="minor"/>
      </rPr>
      <t xml:space="preserve"> + N</t>
    </r>
    <r>
      <rPr>
        <vertAlign val="subscript"/>
        <sz val="11"/>
        <color theme="1"/>
        <rFont val="Calibri"/>
        <charset val="134"/>
        <scheme val="minor"/>
      </rPr>
      <t>DT</t>
    </r>
    <r>
      <rPr>
        <sz val="11"/>
        <color theme="1"/>
        <rFont val="Calibri"/>
        <charset val="134"/>
        <scheme val="minor"/>
      </rPr>
      <t>)) x 100%</t>
    </r>
  </si>
  <si>
    <t>C.4.4.b) Kinerja Dosen</t>
  </si>
  <si>
    <t>Pengakuan/rekognisi atas kepakaran/prestasi/kinerja DTPS.
Pengakuan/rekognisi atas kepakaran/prestasi/kinerja DTPS dapat berupa:
a) menjadi visiting lecturer atau visiting scholar di program studi/perguruan tinggi terakreditasi A/Unggul atau program studi/perguruan tinggi internasional bereputasi.
b) menjadi keynote speaker/invited speaker pada pertemuan ilmiah tingkat nasional/ internasional.
c) menjadi editor atau mitra bestari pada jurnal nasional terakreditasi/jurnal internasional bereputasi di bidang yang sesuai dengan bidang program studi.
d) menjadi staf ahli/narasumber di lembaga tingkat wilayah/nasional/internasional pada bidang yang sesuai dengan bidang program studi (untuk pengusul dari program studi pada program Sarjana/Magister/Doktor), atau menjadi tenaga ahli/konsultan di lembaga/industri tingkat wilayah/nasional/ internasional pada bidang yang sesuai dengan bidang program studi (untuk pengusul dari program studi pada program Diploma Tiga/Sarjana Terapan/Magister Terapan/Doktor Terapan).
e) mendapat penghargaan atas prestasi dan kinerja di tingkat wilayah/nasional/internasional.
Tabel 3.b.1) LKPS</t>
  </si>
  <si>
    <r>
      <rPr>
        <sz val="11"/>
        <color indexed="8"/>
        <rFont val="Calibri"/>
        <charset val="134"/>
        <scheme val="minor"/>
      </rPr>
      <t>N</t>
    </r>
    <r>
      <rPr>
        <vertAlign val="subscript"/>
        <sz val="11"/>
        <color theme="1"/>
        <rFont val="Calibri"/>
        <charset val="134"/>
        <scheme val="minor"/>
      </rPr>
      <t>RD</t>
    </r>
    <r>
      <rPr>
        <sz val="11"/>
        <color theme="1"/>
        <rFont val="Calibri"/>
        <charset val="134"/>
        <scheme val="minor"/>
      </rPr>
      <t xml:space="preserve"> = Jumlah pengakuan atas prestasi/kinerja DTPS yang relevan dengan bidang keahlian dalam 3 tahun terakhir.</t>
    </r>
  </si>
  <si>
    <r>
      <rPr>
        <sz val="11"/>
        <color indexed="8"/>
        <rFont val="Calibri"/>
        <charset val="134"/>
        <scheme val="minor"/>
      </rPr>
      <t>R</t>
    </r>
    <r>
      <rPr>
        <vertAlign val="subscript"/>
        <sz val="11"/>
        <color theme="1"/>
        <rFont val="Calibri"/>
        <charset val="134"/>
        <scheme val="minor"/>
      </rPr>
      <t>RD</t>
    </r>
    <r>
      <rPr>
        <sz val="11"/>
        <color theme="1"/>
        <rFont val="Calibri"/>
        <charset val="134"/>
        <scheme val="minor"/>
      </rPr>
      <t xml:space="preserve"> = N</t>
    </r>
    <r>
      <rPr>
        <vertAlign val="subscript"/>
        <sz val="11"/>
        <color theme="1"/>
        <rFont val="Calibri"/>
        <charset val="134"/>
        <scheme val="minor"/>
      </rPr>
      <t>RD</t>
    </r>
    <r>
      <rPr>
        <sz val="11"/>
        <color theme="1"/>
        <rFont val="Calibri"/>
        <charset val="134"/>
        <scheme val="minor"/>
      </rPr>
      <t xml:space="preserve"> / N</t>
    </r>
    <r>
      <rPr>
        <vertAlign val="subscript"/>
        <sz val="11"/>
        <color theme="1"/>
        <rFont val="Calibri"/>
        <charset val="134"/>
        <scheme val="minor"/>
      </rPr>
      <t>DTPS</t>
    </r>
    <r>
      <rPr>
        <sz val="11"/>
        <color theme="1"/>
        <rFont val="Calibri"/>
        <charset val="134"/>
        <scheme val="minor"/>
      </rPr>
      <t xml:space="preserve"> </t>
    </r>
  </si>
  <si>
    <t>Kegiatan penelitian DTPS yang relevan dengan bidang program studi dalam 3 tahun terakhir.
Tabel 3.b.2) LKPS</t>
  </si>
  <si>
    <r>
      <rPr>
        <sz val="11"/>
        <color indexed="8"/>
        <rFont val="Calibri"/>
        <charset val="134"/>
        <scheme val="minor"/>
      </rPr>
      <t>N</t>
    </r>
    <r>
      <rPr>
        <vertAlign val="subscript"/>
        <sz val="11"/>
        <color theme="1"/>
        <rFont val="Calibri"/>
        <charset val="134"/>
        <scheme val="minor"/>
      </rPr>
      <t>I</t>
    </r>
    <r>
      <rPr>
        <sz val="11"/>
        <color theme="1"/>
        <rFont val="Calibri"/>
        <charset val="134"/>
        <scheme val="minor"/>
      </rPr>
      <t xml:space="preserve"> = Jumlah penelitian dengan sumber pembiayaan luar negeri dalam 3 tahun terakhir.</t>
    </r>
  </si>
  <si>
    <r>
      <rPr>
        <sz val="11"/>
        <color indexed="8"/>
        <rFont val="Calibri"/>
        <charset val="134"/>
        <scheme val="minor"/>
      </rPr>
      <t>N</t>
    </r>
    <r>
      <rPr>
        <vertAlign val="subscript"/>
        <sz val="11"/>
        <color theme="1"/>
        <rFont val="Calibri"/>
        <charset val="134"/>
        <scheme val="minor"/>
      </rPr>
      <t>N</t>
    </r>
    <r>
      <rPr>
        <sz val="11"/>
        <color theme="1"/>
        <rFont val="Calibri"/>
        <charset val="134"/>
        <scheme val="minor"/>
      </rPr>
      <t xml:space="preserve"> = Jumlah penelitian dengan sumber pembiayaan dalam negeri dalam 3 tahun terakhir.</t>
    </r>
  </si>
  <si>
    <r>
      <rPr>
        <sz val="11"/>
        <color indexed="8"/>
        <rFont val="Calibri"/>
        <charset val="134"/>
        <scheme val="minor"/>
      </rPr>
      <t>N</t>
    </r>
    <r>
      <rPr>
        <vertAlign val="subscript"/>
        <sz val="11"/>
        <color theme="1"/>
        <rFont val="Calibri"/>
        <charset val="134"/>
        <scheme val="minor"/>
      </rPr>
      <t>L</t>
    </r>
    <r>
      <rPr>
        <sz val="11"/>
        <color theme="1"/>
        <rFont val="Calibri"/>
        <charset val="134"/>
        <scheme val="minor"/>
      </rPr>
      <t xml:space="preserve"> = Jumlah penelitian dengan sumber pembiayaan PT/mandiri dalam 3 tahun terakhir.</t>
    </r>
  </si>
  <si>
    <r>
      <rPr>
        <sz val="11"/>
        <color indexed="8"/>
        <rFont val="Calibri"/>
        <charset val="134"/>
        <scheme val="minor"/>
      </rPr>
      <t>R</t>
    </r>
    <r>
      <rPr>
        <vertAlign val="subscript"/>
        <sz val="11"/>
        <color theme="1"/>
        <rFont val="Calibri"/>
        <charset val="134"/>
        <scheme val="minor"/>
      </rPr>
      <t>I</t>
    </r>
    <r>
      <rPr>
        <sz val="11"/>
        <color theme="1"/>
        <rFont val="Calibri"/>
        <charset val="134"/>
        <scheme val="minor"/>
      </rPr>
      <t xml:space="preserve"> = N</t>
    </r>
    <r>
      <rPr>
        <vertAlign val="subscript"/>
        <sz val="11"/>
        <color theme="1"/>
        <rFont val="Calibri"/>
        <charset val="134"/>
        <scheme val="minor"/>
      </rPr>
      <t>I</t>
    </r>
    <r>
      <rPr>
        <sz val="11"/>
        <color theme="1"/>
        <rFont val="Calibri"/>
        <charset val="134"/>
        <scheme val="minor"/>
      </rPr>
      <t xml:space="preserve"> / 3 / N</t>
    </r>
    <r>
      <rPr>
        <vertAlign val="subscript"/>
        <sz val="11"/>
        <color theme="1"/>
        <rFont val="Calibri"/>
        <charset val="134"/>
        <scheme val="minor"/>
      </rPr>
      <t>DTPS</t>
    </r>
  </si>
  <si>
    <r>
      <rPr>
        <sz val="11"/>
        <color indexed="8"/>
        <rFont val="Calibri"/>
        <charset val="134"/>
        <scheme val="minor"/>
      </rPr>
      <t>R</t>
    </r>
    <r>
      <rPr>
        <vertAlign val="subscript"/>
        <sz val="11"/>
        <color theme="1"/>
        <rFont val="Calibri"/>
        <charset val="134"/>
        <scheme val="minor"/>
      </rPr>
      <t>N</t>
    </r>
    <r>
      <rPr>
        <sz val="11"/>
        <color theme="1"/>
        <rFont val="Calibri"/>
        <charset val="134"/>
        <scheme val="minor"/>
      </rPr>
      <t xml:space="preserve"> = N</t>
    </r>
    <r>
      <rPr>
        <vertAlign val="subscript"/>
        <sz val="11"/>
        <color theme="1"/>
        <rFont val="Calibri"/>
        <charset val="134"/>
        <scheme val="minor"/>
      </rPr>
      <t>N</t>
    </r>
    <r>
      <rPr>
        <sz val="11"/>
        <color theme="1"/>
        <rFont val="Calibri"/>
        <charset val="134"/>
        <scheme val="minor"/>
      </rPr>
      <t xml:space="preserve"> / 3 / N</t>
    </r>
    <r>
      <rPr>
        <vertAlign val="subscript"/>
        <sz val="11"/>
        <color theme="1"/>
        <rFont val="Calibri"/>
        <charset val="134"/>
        <scheme val="minor"/>
      </rPr>
      <t>DTPS</t>
    </r>
  </si>
  <si>
    <r>
      <rPr>
        <sz val="11"/>
        <color indexed="8"/>
        <rFont val="Calibri"/>
        <charset val="134"/>
        <scheme val="minor"/>
      </rPr>
      <t>R</t>
    </r>
    <r>
      <rPr>
        <vertAlign val="subscript"/>
        <sz val="11"/>
        <color theme="1"/>
        <rFont val="Calibri"/>
        <charset val="134"/>
        <scheme val="minor"/>
      </rPr>
      <t>L</t>
    </r>
    <r>
      <rPr>
        <sz val="11"/>
        <color theme="1"/>
        <rFont val="Calibri"/>
        <charset val="134"/>
        <scheme val="minor"/>
      </rPr>
      <t xml:space="preserve"> = N</t>
    </r>
    <r>
      <rPr>
        <vertAlign val="subscript"/>
        <sz val="11"/>
        <color theme="1"/>
        <rFont val="Calibri"/>
        <charset val="134"/>
        <scheme val="minor"/>
      </rPr>
      <t>L</t>
    </r>
    <r>
      <rPr>
        <sz val="11"/>
        <color theme="1"/>
        <rFont val="Calibri"/>
        <charset val="134"/>
        <scheme val="minor"/>
      </rPr>
      <t xml:space="preserve"> / 3 / N</t>
    </r>
    <r>
      <rPr>
        <vertAlign val="subscript"/>
        <sz val="11"/>
        <color theme="1"/>
        <rFont val="Calibri"/>
        <charset val="134"/>
        <scheme val="minor"/>
      </rPr>
      <t>DTPS</t>
    </r>
  </si>
  <si>
    <t xml:space="preserve">4: RI ≥ a </t>
  </si>
  <si>
    <r>
      <rPr>
        <sz val="11"/>
        <color theme="0"/>
        <rFont val="Calibri"/>
        <charset val="134"/>
        <scheme val="minor"/>
      </rPr>
      <t xml:space="preserve">3-4: RI &lt; a DAN RN </t>
    </r>
    <r>
      <rPr>
        <sz val="11"/>
        <color theme="0"/>
        <rFont val="Calibri"/>
        <charset val="134"/>
      </rPr>
      <t>≥</t>
    </r>
    <r>
      <rPr>
        <sz val="11"/>
        <color theme="0"/>
        <rFont val="Calibri"/>
        <charset val="134"/>
        <scheme val="minor"/>
      </rPr>
      <t xml:space="preserve"> b</t>
    </r>
  </si>
  <si>
    <t>2-3: 0 &lt; RI &lt; a DAN 0 &lt; RN &lt; b</t>
  </si>
  <si>
    <t>2: RI = 0 DAN RN = 0 DAN RL ≥ c</t>
  </si>
  <si>
    <t>0-2: RI = 0 DAN RN = 0 DAN RL &lt; c</t>
  </si>
  <si>
    <t>Kegiatan PkM DTPS yang relevan dengan bidang program studi dalam 3 tahun terakhir.
Tabel 3.b.3) LKPS</t>
  </si>
  <si>
    <r>
      <rPr>
        <sz val="11"/>
        <color indexed="8"/>
        <rFont val="Calibri"/>
        <charset val="134"/>
        <scheme val="minor"/>
      </rPr>
      <t>N</t>
    </r>
    <r>
      <rPr>
        <vertAlign val="subscript"/>
        <sz val="11"/>
        <color theme="1"/>
        <rFont val="Calibri"/>
        <charset val="134"/>
        <scheme val="minor"/>
      </rPr>
      <t>I</t>
    </r>
    <r>
      <rPr>
        <sz val="11"/>
        <color theme="1"/>
        <rFont val="Calibri"/>
        <charset val="134"/>
        <scheme val="minor"/>
      </rPr>
      <t xml:space="preserve"> = Jumlah PkM dengan sumber pembiayaan luar negeri dalam 3 tahun terakhir.</t>
    </r>
  </si>
  <si>
    <r>
      <rPr>
        <sz val="11"/>
        <color indexed="8"/>
        <rFont val="Calibri"/>
        <charset val="134"/>
        <scheme val="minor"/>
      </rPr>
      <t>N</t>
    </r>
    <r>
      <rPr>
        <vertAlign val="subscript"/>
        <sz val="11"/>
        <color theme="1"/>
        <rFont val="Calibri"/>
        <charset val="134"/>
        <scheme val="minor"/>
      </rPr>
      <t>N</t>
    </r>
    <r>
      <rPr>
        <sz val="11"/>
        <color theme="1"/>
        <rFont val="Calibri"/>
        <charset val="134"/>
        <scheme val="minor"/>
      </rPr>
      <t xml:space="preserve"> = Jumlah PkM dengan sumber pembiayaan dalam negeri dalam 3 tahun terakhir.</t>
    </r>
  </si>
  <si>
    <r>
      <rPr>
        <sz val="11"/>
        <color indexed="8"/>
        <rFont val="Calibri"/>
        <charset val="134"/>
        <scheme val="minor"/>
      </rPr>
      <t>N</t>
    </r>
    <r>
      <rPr>
        <vertAlign val="subscript"/>
        <sz val="11"/>
        <color theme="1"/>
        <rFont val="Calibri"/>
        <charset val="134"/>
        <scheme val="minor"/>
      </rPr>
      <t>L</t>
    </r>
    <r>
      <rPr>
        <sz val="11"/>
        <color theme="1"/>
        <rFont val="Calibri"/>
        <charset val="134"/>
        <scheme val="minor"/>
      </rPr>
      <t xml:space="preserve"> = Jumlah PkM dengan sumber pembiayaan PT/mandiri dalam 3 tahun terakhir.</t>
    </r>
  </si>
  <si>
    <t>Publikasi ilmiah dengan tema yang relevan dengan bidang program studi yang dihasilkan DTPS dalam 3 tahun terakhir.
Tabel 3.b.4) LKPS</t>
  </si>
  <si>
    <r>
      <rPr>
        <sz val="11"/>
        <color indexed="8"/>
        <rFont val="Calibri"/>
        <charset val="134"/>
        <scheme val="minor"/>
      </rPr>
      <t>N</t>
    </r>
    <r>
      <rPr>
        <vertAlign val="subscript"/>
        <sz val="11"/>
        <color rgb="FF000000"/>
        <rFont val="Calibri"/>
        <charset val="134"/>
        <scheme val="minor"/>
      </rPr>
      <t>A1</t>
    </r>
    <r>
      <rPr>
        <sz val="11"/>
        <color indexed="8"/>
        <rFont val="Calibri"/>
        <charset val="134"/>
        <scheme val="minor"/>
      </rPr>
      <t xml:space="preserve"> = Jumlah publikasi di jurnal nasional tidak terakreditasi.</t>
    </r>
  </si>
  <si>
    <r>
      <rPr>
        <sz val="11"/>
        <color indexed="8"/>
        <rFont val="Calibri"/>
        <charset val="134"/>
        <scheme val="minor"/>
      </rPr>
      <t>N</t>
    </r>
    <r>
      <rPr>
        <vertAlign val="subscript"/>
        <sz val="11"/>
        <color rgb="FF000000"/>
        <rFont val="Calibri"/>
        <charset val="134"/>
        <scheme val="minor"/>
      </rPr>
      <t>A2</t>
    </r>
    <r>
      <rPr>
        <sz val="11"/>
        <color indexed="8"/>
        <rFont val="Calibri"/>
        <charset val="134"/>
        <scheme val="minor"/>
      </rPr>
      <t xml:space="preserve"> = Jumlah publikasi di jurnal nasional terakreditasi.</t>
    </r>
  </si>
  <si>
    <r>
      <rPr>
        <sz val="11"/>
        <color indexed="8"/>
        <rFont val="Calibri"/>
        <charset val="134"/>
        <scheme val="minor"/>
      </rPr>
      <t>N</t>
    </r>
    <r>
      <rPr>
        <vertAlign val="subscript"/>
        <sz val="11"/>
        <color rgb="FF000000"/>
        <rFont val="Calibri"/>
        <charset val="134"/>
        <scheme val="minor"/>
      </rPr>
      <t>A3</t>
    </r>
    <r>
      <rPr>
        <sz val="11"/>
        <color indexed="8"/>
        <rFont val="Calibri"/>
        <charset val="134"/>
        <scheme val="minor"/>
      </rPr>
      <t xml:space="preserve"> = Jumlah publikasi di jurnal internasional.</t>
    </r>
  </si>
  <si>
    <r>
      <rPr>
        <sz val="11"/>
        <color indexed="8"/>
        <rFont val="Calibri"/>
        <charset val="134"/>
        <scheme val="minor"/>
      </rPr>
      <t>N</t>
    </r>
    <r>
      <rPr>
        <vertAlign val="subscript"/>
        <sz val="11"/>
        <color rgb="FF000000"/>
        <rFont val="Calibri"/>
        <charset val="134"/>
        <scheme val="minor"/>
      </rPr>
      <t>A4</t>
    </r>
    <r>
      <rPr>
        <sz val="11"/>
        <color indexed="8"/>
        <rFont val="Calibri"/>
        <charset val="134"/>
        <scheme val="minor"/>
      </rPr>
      <t xml:space="preserve"> = Jumlah publikasi di jurnal internasional bereputasi.</t>
    </r>
  </si>
  <si>
    <r>
      <rPr>
        <sz val="11"/>
        <color indexed="8"/>
        <rFont val="Calibri"/>
        <charset val="134"/>
        <scheme val="minor"/>
      </rPr>
      <t>N</t>
    </r>
    <r>
      <rPr>
        <vertAlign val="subscript"/>
        <sz val="11"/>
        <color rgb="FF000000"/>
        <rFont val="Calibri"/>
        <charset val="134"/>
        <scheme val="minor"/>
      </rPr>
      <t>B1</t>
    </r>
    <r>
      <rPr>
        <sz val="11"/>
        <color indexed="8"/>
        <rFont val="Calibri"/>
        <charset val="134"/>
        <scheme val="minor"/>
      </rPr>
      <t xml:space="preserve"> = Jumlah publikasi di seminar wilayah/lokal/PT.</t>
    </r>
  </si>
  <si>
    <r>
      <rPr>
        <sz val="11"/>
        <color indexed="8"/>
        <rFont val="Calibri"/>
        <charset val="134"/>
        <scheme val="minor"/>
      </rPr>
      <t>N</t>
    </r>
    <r>
      <rPr>
        <vertAlign val="subscript"/>
        <sz val="11"/>
        <color rgb="FF000000"/>
        <rFont val="Calibri"/>
        <charset val="134"/>
        <scheme val="minor"/>
      </rPr>
      <t>B2</t>
    </r>
    <r>
      <rPr>
        <sz val="11"/>
        <color indexed="8"/>
        <rFont val="Calibri"/>
        <charset val="134"/>
        <scheme val="minor"/>
      </rPr>
      <t xml:space="preserve"> = Jumlah publikasi di seminar nasional.</t>
    </r>
  </si>
  <si>
    <r>
      <rPr>
        <sz val="11"/>
        <color indexed="8"/>
        <rFont val="Calibri"/>
        <charset val="134"/>
        <scheme val="minor"/>
      </rPr>
      <t>N</t>
    </r>
    <r>
      <rPr>
        <vertAlign val="subscript"/>
        <sz val="11"/>
        <color rgb="FF000000"/>
        <rFont val="Calibri"/>
        <charset val="134"/>
        <scheme val="minor"/>
      </rPr>
      <t>B3</t>
    </r>
    <r>
      <rPr>
        <sz val="11"/>
        <color indexed="8"/>
        <rFont val="Calibri"/>
        <charset val="134"/>
        <scheme val="minor"/>
      </rPr>
      <t xml:space="preserve"> = Jumlah publikasi di seminar internasional.</t>
    </r>
  </si>
  <si>
    <r>
      <rPr>
        <sz val="11"/>
        <color indexed="8"/>
        <rFont val="Calibri"/>
        <charset val="134"/>
        <scheme val="minor"/>
      </rPr>
      <t>N</t>
    </r>
    <r>
      <rPr>
        <vertAlign val="subscript"/>
        <sz val="11"/>
        <color rgb="FF000000"/>
        <rFont val="Calibri"/>
        <charset val="134"/>
        <scheme val="minor"/>
      </rPr>
      <t>C1</t>
    </r>
    <r>
      <rPr>
        <sz val="11"/>
        <color indexed="8"/>
        <rFont val="Calibri"/>
        <charset val="134"/>
        <scheme val="minor"/>
      </rPr>
      <t xml:space="preserve"> = Jumlah tulisan di media massa wilayah.</t>
    </r>
  </si>
  <si>
    <r>
      <rPr>
        <sz val="11"/>
        <color indexed="8"/>
        <rFont val="Calibri"/>
        <charset val="134"/>
        <scheme val="minor"/>
      </rPr>
      <t>N</t>
    </r>
    <r>
      <rPr>
        <vertAlign val="subscript"/>
        <sz val="11"/>
        <color rgb="FF000000"/>
        <rFont val="Calibri"/>
        <charset val="134"/>
        <scheme val="minor"/>
      </rPr>
      <t>C2</t>
    </r>
    <r>
      <rPr>
        <sz val="11"/>
        <color indexed="8"/>
        <rFont val="Calibri"/>
        <charset val="134"/>
        <scheme val="minor"/>
      </rPr>
      <t xml:space="preserve"> = Jumlah tulisan di media massa nasional.</t>
    </r>
  </si>
  <si>
    <r>
      <rPr>
        <sz val="11"/>
        <color indexed="8"/>
        <rFont val="Calibri"/>
        <charset val="134"/>
        <scheme val="minor"/>
      </rPr>
      <t>N</t>
    </r>
    <r>
      <rPr>
        <vertAlign val="subscript"/>
        <sz val="11"/>
        <color rgb="FF000000"/>
        <rFont val="Calibri"/>
        <charset val="134"/>
        <scheme val="minor"/>
      </rPr>
      <t>C3</t>
    </r>
    <r>
      <rPr>
        <sz val="11"/>
        <color indexed="8"/>
        <rFont val="Calibri"/>
        <charset val="134"/>
        <scheme val="minor"/>
      </rPr>
      <t xml:space="preserve"> = Jumlah tulisan di media massa internasional.</t>
    </r>
  </si>
  <si>
    <r>
      <rPr>
        <sz val="11"/>
        <color indexed="8"/>
        <rFont val="Calibri"/>
        <charset val="134"/>
        <scheme val="minor"/>
      </rPr>
      <t>R</t>
    </r>
    <r>
      <rPr>
        <vertAlign val="subscript"/>
        <sz val="11"/>
        <color theme="1"/>
        <rFont val="Calibri"/>
        <charset val="134"/>
        <scheme val="minor"/>
      </rPr>
      <t>I</t>
    </r>
    <r>
      <rPr>
        <sz val="11"/>
        <color theme="1"/>
        <rFont val="Calibri"/>
        <charset val="134"/>
        <scheme val="minor"/>
      </rPr>
      <t xml:space="preserve"> = (N</t>
    </r>
    <r>
      <rPr>
        <vertAlign val="subscript"/>
        <sz val="11"/>
        <color theme="1"/>
        <rFont val="Calibri"/>
        <charset val="134"/>
        <scheme val="minor"/>
      </rPr>
      <t>A4</t>
    </r>
    <r>
      <rPr>
        <sz val="11"/>
        <color theme="1"/>
        <rFont val="Calibri"/>
        <charset val="134"/>
        <scheme val="minor"/>
      </rPr>
      <t xml:space="preserve"> + N</t>
    </r>
    <r>
      <rPr>
        <vertAlign val="subscript"/>
        <sz val="11"/>
        <color theme="1"/>
        <rFont val="Calibri"/>
        <charset val="134"/>
        <scheme val="minor"/>
      </rPr>
      <t>B3</t>
    </r>
    <r>
      <rPr>
        <sz val="11"/>
        <color theme="1"/>
        <rFont val="Calibri"/>
        <charset val="134"/>
        <scheme val="minor"/>
      </rPr>
      <t xml:space="preserve"> + N</t>
    </r>
    <r>
      <rPr>
        <vertAlign val="subscript"/>
        <sz val="11"/>
        <color theme="1"/>
        <rFont val="Calibri"/>
        <charset val="134"/>
        <scheme val="minor"/>
      </rPr>
      <t>C3</t>
    </r>
    <r>
      <rPr>
        <sz val="11"/>
        <color theme="1"/>
        <rFont val="Calibri"/>
        <charset val="134"/>
        <scheme val="minor"/>
      </rPr>
      <t>) / N</t>
    </r>
    <r>
      <rPr>
        <vertAlign val="subscript"/>
        <sz val="11"/>
        <color theme="1"/>
        <rFont val="Calibri"/>
        <charset val="134"/>
        <scheme val="minor"/>
      </rPr>
      <t>DTPS</t>
    </r>
  </si>
  <si>
    <r>
      <rPr>
        <sz val="11"/>
        <color indexed="8"/>
        <rFont val="Calibri"/>
        <charset val="134"/>
        <scheme val="minor"/>
      </rPr>
      <t>R</t>
    </r>
    <r>
      <rPr>
        <vertAlign val="subscript"/>
        <sz val="11"/>
        <color theme="1"/>
        <rFont val="Calibri"/>
        <charset val="134"/>
        <scheme val="minor"/>
      </rPr>
      <t>N</t>
    </r>
    <r>
      <rPr>
        <sz val="11"/>
        <color theme="1"/>
        <rFont val="Calibri"/>
        <charset val="134"/>
        <scheme val="minor"/>
      </rPr>
      <t xml:space="preserve"> = (N</t>
    </r>
    <r>
      <rPr>
        <vertAlign val="subscript"/>
        <sz val="11"/>
        <color theme="1"/>
        <rFont val="Calibri"/>
        <charset val="134"/>
        <scheme val="minor"/>
      </rPr>
      <t>A2</t>
    </r>
    <r>
      <rPr>
        <sz val="11"/>
        <color theme="1"/>
        <rFont val="Calibri"/>
        <charset val="134"/>
        <scheme val="minor"/>
      </rPr>
      <t xml:space="preserve"> + N</t>
    </r>
    <r>
      <rPr>
        <vertAlign val="subscript"/>
        <sz val="11"/>
        <color theme="1"/>
        <rFont val="Calibri"/>
        <charset val="134"/>
        <scheme val="minor"/>
      </rPr>
      <t>A3</t>
    </r>
    <r>
      <rPr>
        <sz val="11"/>
        <color theme="1"/>
        <rFont val="Calibri"/>
        <charset val="134"/>
        <scheme val="minor"/>
      </rPr>
      <t xml:space="preserve"> + N</t>
    </r>
    <r>
      <rPr>
        <vertAlign val="subscript"/>
        <sz val="11"/>
        <color theme="1"/>
        <rFont val="Calibri"/>
        <charset val="134"/>
        <scheme val="minor"/>
      </rPr>
      <t>B2</t>
    </r>
    <r>
      <rPr>
        <sz val="11"/>
        <color theme="1"/>
        <rFont val="Calibri"/>
        <charset val="134"/>
        <scheme val="minor"/>
      </rPr>
      <t xml:space="preserve"> + N</t>
    </r>
    <r>
      <rPr>
        <vertAlign val="subscript"/>
        <sz val="11"/>
        <color theme="1"/>
        <rFont val="Calibri"/>
        <charset val="134"/>
        <scheme val="minor"/>
      </rPr>
      <t>C2</t>
    </r>
    <r>
      <rPr>
        <sz val="11"/>
        <color theme="1"/>
        <rFont val="Calibri"/>
        <charset val="134"/>
        <scheme val="minor"/>
      </rPr>
      <t>) / N</t>
    </r>
    <r>
      <rPr>
        <vertAlign val="subscript"/>
        <sz val="11"/>
        <color theme="1"/>
        <rFont val="Calibri"/>
        <charset val="134"/>
        <scheme val="minor"/>
      </rPr>
      <t>DTPS</t>
    </r>
  </si>
  <si>
    <r>
      <rPr>
        <sz val="11"/>
        <color indexed="8"/>
        <rFont val="Calibri"/>
        <charset val="134"/>
        <scheme val="minor"/>
      </rPr>
      <t>R</t>
    </r>
    <r>
      <rPr>
        <vertAlign val="subscript"/>
        <sz val="11"/>
        <color theme="1"/>
        <rFont val="Calibri"/>
        <charset val="134"/>
        <scheme val="minor"/>
      </rPr>
      <t>W</t>
    </r>
    <r>
      <rPr>
        <sz val="11"/>
        <color theme="1"/>
        <rFont val="Calibri"/>
        <charset val="134"/>
        <scheme val="minor"/>
      </rPr>
      <t xml:space="preserve"> = (N</t>
    </r>
    <r>
      <rPr>
        <vertAlign val="subscript"/>
        <sz val="11"/>
        <color theme="1"/>
        <rFont val="Calibri"/>
        <charset val="134"/>
        <scheme val="minor"/>
      </rPr>
      <t>A1</t>
    </r>
    <r>
      <rPr>
        <sz val="11"/>
        <color theme="1"/>
        <rFont val="Calibri"/>
        <charset val="134"/>
        <scheme val="minor"/>
      </rPr>
      <t xml:space="preserve"> + N</t>
    </r>
    <r>
      <rPr>
        <vertAlign val="subscript"/>
        <sz val="11"/>
        <color theme="1"/>
        <rFont val="Calibri"/>
        <charset val="134"/>
        <scheme val="minor"/>
      </rPr>
      <t>B1</t>
    </r>
    <r>
      <rPr>
        <sz val="11"/>
        <color theme="1"/>
        <rFont val="Calibri"/>
        <charset val="134"/>
        <scheme val="minor"/>
      </rPr>
      <t xml:space="preserve"> + N</t>
    </r>
    <r>
      <rPr>
        <vertAlign val="subscript"/>
        <sz val="11"/>
        <color theme="1"/>
        <rFont val="Calibri"/>
        <charset val="134"/>
        <scheme val="minor"/>
      </rPr>
      <t>C1</t>
    </r>
    <r>
      <rPr>
        <sz val="11"/>
        <color theme="1"/>
        <rFont val="Calibri"/>
        <charset val="134"/>
        <scheme val="minor"/>
      </rPr>
      <t>) / N</t>
    </r>
    <r>
      <rPr>
        <vertAlign val="subscript"/>
        <sz val="11"/>
        <color theme="1"/>
        <rFont val="Calibri"/>
        <charset val="134"/>
        <scheme val="minor"/>
      </rPr>
      <t>DTPS</t>
    </r>
  </si>
  <si>
    <t>Artikel karya ilmiah DTPS yang disitasi dalam 3 tahun terakhir.
Tabel 3.b.5) LKPS</t>
  </si>
  <si>
    <r>
      <rPr>
        <sz val="11"/>
        <rFont val="Calibri"/>
        <charset val="134"/>
        <scheme val="minor"/>
      </rPr>
      <t>N</t>
    </r>
    <r>
      <rPr>
        <vertAlign val="subscript"/>
        <sz val="11"/>
        <rFont val="Calibri"/>
        <charset val="134"/>
        <scheme val="minor"/>
      </rPr>
      <t>AS</t>
    </r>
    <r>
      <rPr>
        <sz val="11"/>
        <rFont val="Calibri"/>
        <charset val="134"/>
        <scheme val="minor"/>
      </rPr>
      <t xml:space="preserve"> = Jumlah judul artikel yang disitasi.</t>
    </r>
  </si>
  <si>
    <r>
      <rPr>
        <sz val="11"/>
        <rFont val="Calibri"/>
        <charset val="134"/>
        <scheme val="minor"/>
      </rPr>
      <t>N</t>
    </r>
    <r>
      <rPr>
        <vertAlign val="subscript"/>
        <sz val="11"/>
        <rFont val="Calibri"/>
        <charset val="134"/>
        <scheme val="minor"/>
      </rPr>
      <t>DTPS</t>
    </r>
    <r>
      <rPr>
        <sz val="11"/>
        <rFont val="Calibri"/>
        <charset val="134"/>
        <scheme val="minor"/>
      </rPr>
      <t xml:space="preserve"> = Jumlah dosen tetap yang ditugaskan sebagai pengampu mata kuliah dengan bidang keahlian yang sesuai dengan kompetensi inti program studi yang diakreditasi.</t>
    </r>
  </si>
  <si>
    <r>
      <rPr>
        <sz val="11"/>
        <rFont val="Calibri"/>
        <charset val="134"/>
        <scheme val="minor"/>
      </rPr>
      <t>R</t>
    </r>
    <r>
      <rPr>
        <vertAlign val="subscript"/>
        <sz val="11"/>
        <rFont val="Calibri"/>
        <charset val="134"/>
        <scheme val="minor"/>
      </rPr>
      <t>S</t>
    </r>
    <r>
      <rPr>
        <sz val="11"/>
        <rFont val="Calibri"/>
        <charset val="134"/>
        <scheme val="minor"/>
      </rPr>
      <t xml:space="preserve"> = N</t>
    </r>
    <r>
      <rPr>
        <vertAlign val="subscript"/>
        <sz val="11"/>
        <rFont val="Calibri"/>
        <charset val="134"/>
        <scheme val="minor"/>
      </rPr>
      <t>AS</t>
    </r>
    <r>
      <rPr>
        <sz val="11"/>
        <rFont val="Calibri"/>
        <charset val="134"/>
        <scheme val="minor"/>
      </rPr>
      <t xml:space="preserve"> / N</t>
    </r>
    <r>
      <rPr>
        <vertAlign val="subscript"/>
        <sz val="11"/>
        <rFont val="Calibri"/>
        <charset val="134"/>
        <scheme val="minor"/>
      </rPr>
      <t>DTPS</t>
    </r>
  </si>
  <si>
    <t>Luaran penelitian dan PkM yang dihasilkan DTPS dalam 3 tahun terakhir.
Tabel 3.b.7) LKPS</t>
  </si>
  <si>
    <r>
      <rPr>
        <sz val="11"/>
        <color indexed="8"/>
        <rFont val="Calibri"/>
        <charset val="134"/>
        <scheme val="minor"/>
      </rPr>
      <t>N</t>
    </r>
    <r>
      <rPr>
        <vertAlign val="subscript"/>
        <sz val="11"/>
        <color rgb="FF000000"/>
        <rFont val="Calibri"/>
        <charset val="134"/>
        <scheme val="minor"/>
      </rPr>
      <t>A</t>
    </r>
    <r>
      <rPr>
        <sz val="11"/>
        <color indexed="8"/>
        <rFont val="Calibri"/>
        <charset val="134"/>
        <scheme val="minor"/>
      </rPr>
      <t xml:space="preserve"> = Jumlah luaran penelitian/PkM yang mendapat pengakuan HKI (Paten, Paten Sederhana)</t>
    </r>
  </si>
  <si>
    <r>
      <rPr>
        <sz val="11"/>
        <color indexed="8"/>
        <rFont val="Calibri"/>
        <charset val="134"/>
        <scheme val="minor"/>
      </rPr>
      <t>N</t>
    </r>
    <r>
      <rPr>
        <vertAlign val="subscript"/>
        <sz val="11"/>
        <color rgb="FF000000"/>
        <rFont val="Calibri"/>
        <charset val="134"/>
        <scheme val="minor"/>
      </rPr>
      <t>B</t>
    </r>
    <r>
      <rPr>
        <sz val="11"/>
        <color indexed="8"/>
        <rFont val="Calibri"/>
        <charset val="134"/>
        <scheme val="minor"/>
      </rPr>
      <t xml:space="preserve"> = Jumlah luaran penelitian/PkM yang mendapat pengakuan HKI (Hak Cipta, Desain Produk Industri, Perlindungan Varietas Tanaman, Desain Tata Letak Sirkuit Terpadu, dll.)</t>
    </r>
  </si>
  <si>
    <r>
      <rPr>
        <sz val="11"/>
        <color indexed="8"/>
        <rFont val="Calibri"/>
        <charset val="134"/>
        <scheme val="minor"/>
      </rPr>
      <t>N</t>
    </r>
    <r>
      <rPr>
        <vertAlign val="subscript"/>
        <sz val="11"/>
        <color rgb="FF000000"/>
        <rFont val="Calibri"/>
        <charset val="134"/>
        <scheme val="minor"/>
      </rPr>
      <t>C</t>
    </r>
    <r>
      <rPr>
        <sz val="11"/>
        <color indexed="8"/>
        <rFont val="Calibri"/>
        <charset val="134"/>
        <scheme val="minor"/>
      </rPr>
      <t xml:space="preserve"> = Jumlah luaran penelitian/PkM dalam bentuk Teknologi Tepat Guna, Produk (Produk Terstandarisasi, Produk Tersertifikasi), Karya Seni, Rekayasa Sosial.</t>
    </r>
  </si>
  <si>
    <r>
      <rPr>
        <sz val="11"/>
        <color indexed="8"/>
        <rFont val="Calibri"/>
        <charset val="134"/>
        <scheme val="minor"/>
      </rPr>
      <t>N</t>
    </r>
    <r>
      <rPr>
        <vertAlign val="subscript"/>
        <sz val="11"/>
        <color rgb="FF000000"/>
        <rFont val="Calibri"/>
        <charset val="134"/>
        <scheme val="minor"/>
      </rPr>
      <t>D</t>
    </r>
    <r>
      <rPr>
        <sz val="11"/>
        <color indexed="8"/>
        <rFont val="Calibri"/>
        <charset val="134"/>
        <scheme val="minor"/>
      </rPr>
      <t xml:space="preserve"> = Jumlah luaran penelitian/PkM yang diterbitkan dalam bentuk Buku ber-ISBN, </t>
    </r>
    <r>
      <rPr>
        <i/>
        <sz val="11"/>
        <color rgb="FF000000"/>
        <rFont val="Calibri"/>
        <charset val="134"/>
        <scheme val="minor"/>
      </rPr>
      <t>Book Chapter</t>
    </r>
    <r>
      <rPr>
        <sz val="11"/>
        <color indexed="8"/>
        <rFont val="Calibri"/>
        <charset val="134"/>
        <scheme val="minor"/>
      </rPr>
      <t>.</t>
    </r>
  </si>
  <si>
    <r>
      <rPr>
        <sz val="11"/>
        <color indexed="8"/>
        <rFont val="Calibri"/>
        <charset val="134"/>
        <scheme val="minor"/>
      </rPr>
      <t>R</t>
    </r>
    <r>
      <rPr>
        <vertAlign val="subscript"/>
        <sz val="11"/>
        <color rgb="FF000000"/>
        <rFont val="Calibri"/>
        <charset val="134"/>
        <scheme val="minor"/>
      </rPr>
      <t>LP</t>
    </r>
    <r>
      <rPr>
        <sz val="11"/>
        <color indexed="8"/>
        <rFont val="Calibri"/>
        <charset val="134"/>
        <scheme val="minor"/>
      </rPr>
      <t xml:space="preserve"> = (2 x (N</t>
    </r>
    <r>
      <rPr>
        <vertAlign val="subscript"/>
        <sz val="11"/>
        <color rgb="FF000000"/>
        <rFont val="Calibri"/>
        <charset val="134"/>
        <scheme val="minor"/>
      </rPr>
      <t>A</t>
    </r>
    <r>
      <rPr>
        <sz val="11"/>
        <color indexed="8"/>
        <rFont val="Calibri"/>
        <charset val="134"/>
        <scheme val="minor"/>
      </rPr>
      <t xml:space="preserve"> + N</t>
    </r>
    <r>
      <rPr>
        <vertAlign val="subscript"/>
        <sz val="11"/>
        <color rgb="FF000000"/>
        <rFont val="Calibri"/>
        <charset val="134"/>
        <scheme val="minor"/>
      </rPr>
      <t>B</t>
    </r>
    <r>
      <rPr>
        <sz val="11"/>
        <color indexed="8"/>
        <rFont val="Calibri"/>
        <charset val="134"/>
        <scheme val="minor"/>
      </rPr>
      <t xml:space="preserve"> + N</t>
    </r>
    <r>
      <rPr>
        <vertAlign val="subscript"/>
        <sz val="11"/>
        <color rgb="FF000000"/>
        <rFont val="Calibri"/>
        <charset val="134"/>
        <scheme val="minor"/>
      </rPr>
      <t>C</t>
    </r>
    <r>
      <rPr>
        <sz val="11"/>
        <color rgb="FF000000"/>
        <rFont val="Calibri"/>
        <charset val="134"/>
        <scheme val="minor"/>
      </rPr>
      <t>) + N</t>
    </r>
    <r>
      <rPr>
        <vertAlign val="subscript"/>
        <sz val="11"/>
        <color rgb="FF000000"/>
        <rFont val="Calibri"/>
        <charset val="134"/>
        <scheme val="minor"/>
      </rPr>
      <t>D</t>
    </r>
    <r>
      <rPr>
        <sz val="11"/>
        <color indexed="8"/>
        <rFont val="Calibri"/>
        <charset val="134"/>
        <scheme val="minor"/>
      </rPr>
      <t>) / N</t>
    </r>
    <r>
      <rPr>
        <vertAlign val="subscript"/>
        <sz val="11"/>
        <color rgb="FF000000"/>
        <rFont val="Calibri"/>
        <charset val="134"/>
        <scheme val="minor"/>
      </rPr>
      <t>DTPS</t>
    </r>
  </si>
  <si>
    <t>C.4.4.c) Pengembangan Dosen</t>
  </si>
  <si>
    <r>
      <rPr>
        <sz val="11"/>
        <color indexed="8"/>
        <rFont val="Calibri"/>
        <charset val="134"/>
        <scheme val="minor"/>
      </rPr>
      <t xml:space="preserve">Upaya pengembangan dosen.
Catatan: Jika Skor rata-rata butir Profil Dosen </t>
    </r>
    <r>
      <rPr>
        <sz val="11"/>
        <color indexed="8"/>
        <rFont val="Calibri"/>
        <charset val="134"/>
      </rPr>
      <t>≥</t>
    </r>
    <r>
      <rPr>
        <sz val="11"/>
        <color indexed="8"/>
        <rFont val="Calibri"/>
        <charset val="134"/>
        <scheme val="minor"/>
      </rPr>
      <t xml:space="preserve"> 3,5 , maka Skor = 4.</t>
    </r>
  </si>
  <si>
    <t>Skor rata-rata butir Profil Dosen</t>
  </si>
  <si>
    <t>UPPS merencanakan dan mengembangkan DTPS mengikuti rencana pengembangan SDM di perguruan tinggi (Renstra PT) secara konsisten.</t>
  </si>
  <si>
    <t>UPPS merencanakan dan mengembangkan DTPS mengikuti rencana pengembangan SDM di perguruan tinggi (Renstra PT).</t>
  </si>
  <si>
    <t>UPPS mengembangkan DTPS mengikuti rencana pengembangan SDM di perguruan tinggi (Renstra PT).</t>
  </si>
  <si>
    <t>UPPS mengembangkan DTPS tidak mengikuti atau tidak sesuai dengan rencana pengembangan SDM di perguruan tinggi (Renstra PT).</t>
  </si>
  <si>
    <t>Perguruan tinggi dan/atau UPPS tidak memiliki rencana pengembangan SDM.</t>
  </si>
  <si>
    <t>C.4.4.d) Tenaga Kependidikan</t>
  </si>
  <si>
    <t>A. Kualifikasi dan kecukupan tenaga kependidikan berdasarkan jenis pekerjaannya (administrasi, pustakawan, teknisi, dll.)
Catatan: Penilaian kecukupan tidak hanya ditentukan oleh jumlah tenaga kependidikan, namun keberadaan dan pemanfaatan teknologi informasi dan komputer dalam proses administrasi dapat dijadikan pertimbangan untuk menilai efektifitas pekerjaan dan kebutuhan akan tenaga kependidikan.</t>
  </si>
  <si>
    <t>UPPS memiliki tenaga kependidikan yang memenuhi tingkat kecukupan dan kualifikasi berdasarkan kebutuhan layanan program studi dan mendukung pelaksanaan akademik, fungsi unit pengelola, serta pengembangan program studi.</t>
  </si>
  <si>
    <t>UPPS memiliki tenaga kependidikan yang memenuhi tingkat kecukupan dan kualifikasi berdasarkan kebutuhan layanan program studi dan mendukung pelaksanaan akademik dan fungsi unit pengelola.</t>
  </si>
  <si>
    <t>UPPS memiliki tenaga kependidikan yang memenuhi tingkat kecukupan dan kualifikasi berdasarkan kebutuhan layanan program studi dan mendukung pelaksanaan akademik.</t>
  </si>
  <si>
    <t>UPPS memiliki tenaga kependidikan yang memenuhi tingkat kecukupan dan/atau kualifikasi berdasarkan kebutuhan layanan program studi dan mendukung pelaksanaan akademik.</t>
  </si>
  <si>
    <t>UPPS memiliki tenaga kependidikan yang tidak memenuhi tingkat kecukupan dan kualifikasi berdasarkan kebutuhan layanan program studi.</t>
  </si>
  <si>
    <t>B. Kualifikasi dan kecukupan laboran untuk mendukung proses pembelajaran sesuai dengan kebutuhan program studi.</t>
  </si>
  <si>
    <t>UPPS memiliki jumlah laboran yang cukup terhadap jumlah laboratorium yang digunakan program studi, kualifikasinya sesuai
dengan laboratorium yang menjadi tanggungjawabnya, serta bersertifikat laboran dan bersertifikat kompetensi tertentu sesuai bidang tugasnya.</t>
  </si>
  <si>
    <t>UPPS memiliki jumlah laboran yang cukup terhadap jumlah laboratorium yang digunakan program studi, kualifikasinya sesuai
dengan laboratorium yang menjadi tanggungjawabnya, dan bersertifikat laboran atau bersertifikat kompetensi tertentu sesuai bidang tugasnya.</t>
  </si>
  <si>
    <t>UPPS memiliki jumlah laboran yang cukup terhadap jumlah laboratorium yang digunakan program studi dan kualifikasinya sesuai dengan laboratorium yang menjadi tanggungjawabnya.</t>
  </si>
  <si>
    <t>UPPS memiliki jumlah laboran yang cukup terhadap jumlah
laboratorium yang digunakan program studi.</t>
  </si>
  <si>
    <t>UPPS tidak memiliki laboran.</t>
  </si>
  <si>
    <t>Skor = (A + B) / 2</t>
  </si>
  <si>
    <r>
      <rPr>
        <b/>
        <sz val="11"/>
        <color theme="1"/>
        <rFont val="Calibri"/>
        <charset val="134"/>
        <scheme val="minor"/>
      </rPr>
      <t>C.5. Keuangan, Sarana dan Prasarana</t>
    </r>
    <r>
      <rPr>
        <sz val="11"/>
        <color theme="1"/>
        <rFont val="Calibri"/>
        <charset val="134"/>
        <scheme val="minor"/>
      </rPr>
      <t xml:space="preserve">
C.5.4. Indikator Kinerja Utama
C.5.4.a) Keuangan</t>
    </r>
  </si>
  <si>
    <t>Biaya operasional pendidikan.
Tabel 4 LKPS</t>
  </si>
  <si>
    <r>
      <rPr>
        <sz val="11"/>
        <color indexed="8"/>
        <rFont val="Calibri"/>
        <charset val="134"/>
        <scheme val="minor"/>
      </rPr>
      <t>B</t>
    </r>
    <r>
      <rPr>
        <vertAlign val="subscript"/>
        <sz val="11"/>
        <color rgb="FF000000"/>
        <rFont val="Calibri"/>
        <charset val="134"/>
        <scheme val="minor"/>
      </rPr>
      <t>OP</t>
    </r>
    <r>
      <rPr>
        <sz val="11"/>
        <color indexed="8"/>
        <rFont val="Calibri"/>
        <charset val="134"/>
        <scheme val="minor"/>
      </rPr>
      <t xml:space="preserve"> = Biaya operasional pendidikan dalam 3 tahun terakhir.</t>
    </r>
  </si>
  <si>
    <r>
      <rPr>
        <sz val="11"/>
        <color indexed="8"/>
        <rFont val="Calibri"/>
        <charset val="134"/>
        <scheme val="minor"/>
      </rPr>
      <t>N</t>
    </r>
    <r>
      <rPr>
        <vertAlign val="subscript"/>
        <sz val="11"/>
        <color theme="1"/>
        <rFont val="Calibri"/>
        <charset val="134"/>
        <scheme val="minor"/>
      </rPr>
      <t>M</t>
    </r>
    <r>
      <rPr>
        <sz val="11"/>
        <color theme="1"/>
        <rFont val="Calibri"/>
        <charset val="134"/>
        <scheme val="minor"/>
      </rPr>
      <t xml:space="preserve"> = Jumlah mahasiswa aktif pada saat TS.</t>
    </r>
  </si>
  <si>
    <r>
      <rPr>
        <sz val="11"/>
        <color indexed="8"/>
        <rFont val="Calibri"/>
        <charset val="134"/>
        <scheme val="minor"/>
      </rPr>
      <t>D</t>
    </r>
    <r>
      <rPr>
        <vertAlign val="subscript"/>
        <sz val="11"/>
        <color rgb="FF000000"/>
        <rFont val="Calibri"/>
        <charset val="134"/>
        <scheme val="minor"/>
      </rPr>
      <t>OP</t>
    </r>
    <r>
      <rPr>
        <sz val="11"/>
        <color indexed="8"/>
        <rFont val="Calibri"/>
        <charset val="134"/>
        <scheme val="minor"/>
      </rPr>
      <t xml:space="preserve"> = Rata-rata dana operasional pendidikan/mahasiswa/ tahun dalam 3 tahun terakhir = B</t>
    </r>
    <r>
      <rPr>
        <vertAlign val="subscript"/>
        <sz val="11"/>
        <color rgb="FF000000"/>
        <rFont val="Calibri"/>
        <charset val="134"/>
        <scheme val="minor"/>
      </rPr>
      <t>OP</t>
    </r>
    <r>
      <rPr>
        <sz val="11"/>
        <color indexed="8"/>
        <rFont val="Calibri"/>
        <charset val="134"/>
        <scheme val="minor"/>
      </rPr>
      <t xml:space="preserve"> / 3 / N</t>
    </r>
    <r>
      <rPr>
        <vertAlign val="subscript"/>
        <sz val="11"/>
        <color rgb="FF000000"/>
        <rFont val="Calibri"/>
        <charset val="134"/>
        <scheme val="minor"/>
      </rPr>
      <t>M</t>
    </r>
  </si>
  <si>
    <t>Dana penelitian DTPS.
Tabel 4 LKPS</t>
  </si>
  <si>
    <r>
      <rPr>
        <sz val="11"/>
        <color indexed="8"/>
        <rFont val="Calibri"/>
        <charset val="134"/>
        <scheme val="minor"/>
      </rPr>
      <t>D</t>
    </r>
    <r>
      <rPr>
        <vertAlign val="subscript"/>
        <sz val="11"/>
        <color theme="1"/>
        <rFont val="Calibri"/>
        <charset val="134"/>
        <scheme val="minor"/>
      </rPr>
      <t>P</t>
    </r>
    <r>
      <rPr>
        <sz val="11"/>
        <color theme="1"/>
        <rFont val="Calibri"/>
        <charset val="134"/>
        <scheme val="minor"/>
      </rPr>
      <t xml:space="preserve"> = Jumlah dana penelitian yang diperoleh dosen tetap dalam 3 tahun terakhir.</t>
    </r>
  </si>
  <si>
    <r>
      <rPr>
        <sz val="11"/>
        <color indexed="8"/>
        <rFont val="Calibri"/>
        <charset val="134"/>
        <scheme val="minor"/>
      </rPr>
      <t>D</t>
    </r>
    <r>
      <rPr>
        <vertAlign val="subscript"/>
        <sz val="11"/>
        <color theme="1"/>
        <rFont val="Calibri"/>
        <charset val="134"/>
        <scheme val="minor"/>
      </rPr>
      <t>PD</t>
    </r>
    <r>
      <rPr>
        <sz val="11"/>
        <color theme="1"/>
        <rFont val="Calibri"/>
        <charset val="134"/>
        <scheme val="minor"/>
      </rPr>
      <t xml:space="preserve"> = Rata-rata dana penelitian DTPS/ tahun dalam 3 tahun terakhir = D</t>
    </r>
    <r>
      <rPr>
        <vertAlign val="subscript"/>
        <sz val="11"/>
        <color theme="1"/>
        <rFont val="Calibri"/>
        <charset val="134"/>
        <scheme val="minor"/>
      </rPr>
      <t>P</t>
    </r>
    <r>
      <rPr>
        <sz val="11"/>
        <color theme="1"/>
        <rFont val="Calibri"/>
        <charset val="134"/>
        <scheme val="minor"/>
      </rPr>
      <t xml:space="preserve"> / 3 / N</t>
    </r>
    <r>
      <rPr>
        <vertAlign val="subscript"/>
        <sz val="11"/>
        <color theme="1"/>
        <rFont val="Calibri"/>
        <charset val="134"/>
        <scheme val="minor"/>
      </rPr>
      <t>DTPS</t>
    </r>
  </si>
  <si>
    <t>Dana pengabdian kepada masyarakat DTPS.
Tabel 4 LKPS</t>
  </si>
  <si>
    <r>
      <rPr>
        <sz val="11"/>
        <color indexed="8"/>
        <rFont val="Calibri"/>
        <charset val="134"/>
        <scheme val="minor"/>
      </rPr>
      <t>D</t>
    </r>
    <r>
      <rPr>
        <vertAlign val="subscript"/>
        <sz val="11"/>
        <color theme="1"/>
        <rFont val="Calibri"/>
        <charset val="134"/>
        <scheme val="minor"/>
      </rPr>
      <t>PkM</t>
    </r>
    <r>
      <rPr>
        <sz val="11"/>
        <color theme="1"/>
        <rFont val="Calibri"/>
        <charset val="134"/>
        <scheme val="minor"/>
      </rPr>
      <t xml:space="preserve"> = Jumlah dana PkM yang diperoleh dosen tetap dalam 3 tahun terakhir.</t>
    </r>
  </si>
  <si>
    <r>
      <rPr>
        <sz val="11"/>
        <color indexed="8"/>
        <rFont val="Calibri"/>
        <charset val="134"/>
        <scheme val="minor"/>
      </rPr>
      <t>D</t>
    </r>
    <r>
      <rPr>
        <vertAlign val="subscript"/>
        <sz val="11"/>
        <color theme="1"/>
        <rFont val="Calibri"/>
        <charset val="134"/>
        <scheme val="minor"/>
      </rPr>
      <t>PkMD</t>
    </r>
    <r>
      <rPr>
        <sz val="11"/>
        <color theme="1"/>
        <rFont val="Calibri"/>
        <charset val="134"/>
        <scheme val="minor"/>
      </rPr>
      <t xml:space="preserve"> = Rata-rata dana PkM DTPS/ tahun dalam 3 tahun terakhir = D</t>
    </r>
    <r>
      <rPr>
        <vertAlign val="subscript"/>
        <sz val="11"/>
        <color theme="1"/>
        <rFont val="Calibri"/>
        <charset val="134"/>
        <scheme val="minor"/>
      </rPr>
      <t>PkM</t>
    </r>
    <r>
      <rPr>
        <sz val="11"/>
        <color theme="1"/>
        <rFont val="Calibri"/>
        <charset val="134"/>
        <scheme val="minor"/>
      </rPr>
      <t xml:space="preserve"> / 3 / N</t>
    </r>
    <r>
      <rPr>
        <vertAlign val="subscript"/>
        <sz val="11"/>
        <color theme="1"/>
        <rFont val="Calibri"/>
        <charset val="134"/>
        <scheme val="minor"/>
      </rPr>
      <t>DTPS</t>
    </r>
  </si>
  <si>
    <t>Realisasi investasi (SDM, sarana dan prasarana) yang mendukung penyelenggaraan tridharma.
Catatan: Jika Skor rata-rata butir tentang Profil Dosen, Sarana, dan Prasarana ≥ 3,5 , maka Skor butir ini = 4.</t>
  </si>
  <si>
    <t>Skor rata-rata butir Profil Dosen, Sarana dan Prasarana</t>
  </si>
  <si>
    <t>Persentase realisasi dana untuk investasi SDM serta Sarana dan Prasarana telah sesuai dengan perencanaan investasi serta melebihi standar pembelajaran, penelitian dan PkM untuk mendukung terciptanya suasana akademik yang sehat dan kondusif.</t>
  </si>
  <si>
    <t>Persentase realisasi dana untuk investasi SDM serta Sarana dan Prasarana telah sesuai dengan perencanaan investasi serta melebihi standar pembelajaran, penelitian dan PkM.</t>
  </si>
  <si>
    <t xml:space="preserve">Persentase realisasi dana untuk investasi SDM serta Sarana dan Prasarana telah sesuai dengan perencanaan investasi serta memenuhi standar pembelajaran, penelitian dan PkM.
</t>
  </si>
  <si>
    <t>Persentase realisasi dana untuk investasi SDM serta Sarana dan Prasarana kurang sesuai dengan perencanaan investasi.</t>
  </si>
  <si>
    <t>Tidak ada realisasi dana untuk investasi SDM serta Sarana dan Prasarana.</t>
  </si>
  <si>
    <t>Kecukupan dana untuk menjamin pencapaian capaian pembelajaran.</t>
  </si>
  <si>
    <t>Dana dapat menjamin keberlangsungan operasional tridharma, pengembangan 3 tahun terakhir serta memiliki kecukupan dana untuk rencana pengembangan 3 tahun ke depan yang didukung oleh sumber pendanaan yang realistis.</t>
  </si>
  <si>
    <t>Dana dapat menjamin keberlangsungan operasional tridharma serta pengembangan 3 tahun terakhir.</t>
  </si>
  <si>
    <t>Dana dapat menjamin keberlangsungan operasional tridharma dan sebagian kecil pengembangan.</t>
  </si>
  <si>
    <t>Dana  dapat menjamin keberlangsungan operasional dan tidak ada untuk pengembangan.</t>
  </si>
  <si>
    <t>Dana tidak mencukupi untuk keperluan operasional.</t>
  </si>
  <si>
    <t>C.5.4.b) Sarana dan Prasarana</t>
  </si>
  <si>
    <t>Kecukupan, aksesibilitas dan mutu sarana dan prasarana untuk menjamin pencapaian capaian pembelajaran dan meningkatkan suasana akademik.</t>
  </si>
  <si>
    <t>UPPS menyediakan sarana dan prasarana yang mutakhir serta aksesibiltas yang cukup untuk menjamin pencapaian capaian pembelajaran dan meningkatkan suasana akademik.</t>
  </si>
  <si>
    <t>UPPS menyediakan sarana dan prasarana serta aksesibiltas yang cukup untuk menjamin pencapaian capaian pembelajaran dan meningkatkan suasana akademik.</t>
  </si>
  <si>
    <t xml:space="preserve">UPPS menyediakan sarana dan prasarana serta aksesibiltas yang cukup untuk menjamin pencapaian capaian pembelajaran.
</t>
  </si>
  <si>
    <t>UPPS menyediakan sarana dan prasarana serta aksesibiltas yang tidak cukup untuk menjamin pencapaian capaian pembelajaran.</t>
  </si>
  <si>
    <t>UPPS tidak memiliki sarana dan prasarana.</t>
  </si>
  <si>
    <r>
      <rPr>
        <b/>
        <sz val="11"/>
        <color theme="1"/>
        <rFont val="Calibri"/>
        <charset val="134"/>
        <scheme val="minor"/>
      </rPr>
      <t>C.6. Pendidikan</t>
    </r>
    <r>
      <rPr>
        <sz val="11"/>
        <color theme="1"/>
        <rFont val="Calibri"/>
        <charset val="134"/>
        <scheme val="minor"/>
      </rPr>
      <t xml:space="preserve">
C.6.4. Indikator Kinerja Utama
C.6.4.a) Kurikulum</t>
    </r>
  </si>
  <si>
    <t>A. Keterlibatan pemangku kepentingan dalam proses evaluasi dan pemutakhiran kurikulum.</t>
  </si>
  <si>
    <t xml:space="preserve">Evaluasi dan pemutakhiran kurikulum secara berkala tiap 4 s.d. 5 tahun yang melibatkan pemangku kepentingan internal dan eksternal, serta direview oleh pakar bidang ilmu program studi, industri, asosiasi, serta sesuai perkembangan ipteks dan kebutuhan pengguna. </t>
  </si>
  <si>
    <t>Evaluasi dan pemutakhiran kurikulum secara berkala tiap 4 s.d. 5 tahun yang melibatkan pemangku kepentingan internal dan eksternal.</t>
  </si>
  <si>
    <t>Evaluasi dan pemutakhiran kurikulum melibatkan pemangku kepentingan internal.</t>
  </si>
  <si>
    <t>Evaluasi dan pemutakhiran kurikulum tidak melibatkan seluruh pemangku  kepentingan internal.</t>
  </si>
  <si>
    <t>Evaluasi dan pemutakhiran kurikulum dilakukan oleh dosen program studi.</t>
  </si>
  <si>
    <t>B. Kesesuaian capaian pembelajaran dengan profil lulusan dan jenjang KKNI/SKKNI.</t>
  </si>
  <si>
    <t>Capaian pembelajaran diturunkan dari profil lulusan, mengacu pada hasil kesepakatan dengan asosiasi penyelenggara program studi sejenis dan organisasi profesi, dan memenuhi level KKNI, serta dimutakhirkan secara berkala tiap 4 s.d. 5 tahun sesuai perkembangan ipteks dan kebutuhan pengguna.</t>
  </si>
  <si>
    <t>Capaian pembelajaran diturunkan dari profil lulusan, memenuhi level KKNI, dan dimutakhirkan secara berkala tiap 4 s.d. 5 tahun sesuai perkembangan ipteks atau kebutuhan pengguna.</t>
  </si>
  <si>
    <t>Capaian pembelajaran diturunkan dari profil lulusan dan memenuhi level KKNI.</t>
  </si>
  <si>
    <t>Capaian pembelajaran diturunkan dari profil lulusan dan tidak memenuhi level KKNI.</t>
  </si>
  <si>
    <t>Capaian pembelajaran tidak diturunkan dari profil lulusan dan tidak memenuhi level KKNI.</t>
  </si>
  <si>
    <t>C. Ketepatan struktur kurikulum dalam pembentukan capaian pembelajaran.</t>
  </si>
  <si>
    <t>Struktur kurikulum memuat keterkaitan antara matakuliah dengan capaian pembelajaran lulusan yang digambarkan dalam peta kurikulum yang jelas, capaian pembelajaran lulusan dipenuhi oleh seluruh capaian pembelajaran matakuliah, serta tidak ada capaian pembelajaran matakuliah yang tidak mendukung capaian pembelajaran lulusan.</t>
  </si>
  <si>
    <t>Struktur kurikulum memuat keterkaitan antara matakuliah dengan capaian pembelajaran lulusan yang digambarkan dalam peta kurikulum yang jelas, capaian pembelajaran lulusan dipenuhi oleh seluruh capaian pembelajaran matakuliah.</t>
  </si>
  <si>
    <t>Struktur kurikulum memuat keterkaitan antara matakuliah dengan capaian pembelajaran lulusan yang digambarkan dalam peta kurikulum yang jelas.</t>
  </si>
  <si>
    <t>Struktur kurikulum tidak sesuai dengan capaian pembelajaran lulusan.</t>
  </si>
  <si>
    <t>Skor = (A + (2 x B) + (2 x C)) / 5</t>
  </si>
  <si>
    <t>C.6.4.b) Karakteristik Proses Pembelajaran</t>
  </si>
  <si>
    <t>Pemenuhan karakteristik proses pembelajaran, yang terdiri atas sifat: 1) interaktif, 2) holistik, 3) integratif, 4) saintifik, 5) kontekstual, 6) tematik, 7) efektif, 8) kolaboratif, dan 9) berpusat pada mahasiswa.</t>
  </si>
  <si>
    <t xml:space="preserve">Terpenuhinya karakteristik proses pembelajaran program studi yang mencakup seluruh sifat, dan telah menghasilkan profil lulusan yang sesuai dengan capaian pembelajaran. </t>
  </si>
  <si>
    <t xml:space="preserve">Terpenuhinya karakteristik proses pembelajaran program studi yang berpusat pada mahasiswa, dan telah menghasilkan profil lulusan yang sesuai dengan capaian pembelajaran. </t>
  </si>
  <si>
    <t>Karakteristik proses pembelajaran program studi berpusat pada mahasiswa yang diterapkan pada minimal 50% matakuliah.</t>
  </si>
  <si>
    <t>Karakteristik proses pembelajaran program studi belum berpusat pada mahasiswa.</t>
  </si>
  <si>
    <t>C.6.4.c) Rencana Proses Pembelajaran</t>
  </si>
  <si>
    <t xml:space="preserve">A. Ketersediaan dan kelengkapan dokumen rencana pembelajaran semester (RPS) </t>
  </si>
  <si>
    <t>Dokumen RPS mencakup target capaian pembelajaran, bahan kajian, metode pembelajaran, waktu dan tahapan, asesmen hasil capaian pembelajaran. RPS ditinjau dan disesuaikan secara berkala serta dapat diakses oleh mahasiswa, dilaksanakan secara konsisten.</t>
  </si>
  <si>
    <t>Dokumen RPS mencakup target capaian pembelajaran, bahan kajian, metode pembelajaran, waktu dan tahapan, asesmen hasil capaian pembelajaran. RPS ditinjau dan disesuaikan secara berkala serta dapat diakses oleh mahasiswa.</t>
  </si>
  <si>
    <t xml:space="preserve">Dokumen RPS mencakup target capaian pembelajaran, bahan kajian, metode pembelajaran, waktu dan tahapan, asesmen hasil capaian pembelajaran. RPS ditinjau dan disesuaikan secara berkala.  </t>
  </si>
  <si>
    <t>Dokumen RPS mencakup target capaian pembelajaran, bahan kajian, metode pembelajaran, waktu dan tahapan, asesmen hasil capaian pembelajaran atau tidak semua matakuliah memiliki RPS.</t>
  </si>
  <si>
    <t>Tidak memiliki dokumen RPS.</t>
  </si>
  <si>
    <t>B. Kedalaman dan keluasan RPS sesuai dengan capaian pembelajaran lulusan.</t>
  </si>
  <si>
    <t xml:space="preserve">Isi materi pembelajaran sesuai dengan RPS, memiliki kedalaman dan keluasan yang relevan untuk mencapai capaian pembelajaran lulusan, serta ditinjau ulang secara berkala. </t>
  </si>
  <si>
    <t xml:space="preserve">Isi materi pembelajaran sesuai dengan RPS, memiliki kedalaman dan keluasan yang relevan untuk mencapai capaian pembelajaran lulusan. </t>
  </si>
  <si>
    <t xml:space="preserve">Isi materi pembelajaran memiliki kedalaman dan keluasan sesuai dengan capaian pembelajaran lulusan. </t>
  </si>
  <si>
    <t xml:space="preserve">Isi materi pembelajaran memiliki kedalaman dan keluasan namun sebagian tidak sesuai dengan capaian pembelajaran lulusan. </t>
  </si>
  <si>
    <t xml:space="preserve">Isi materi pembelajaran tidak sesuai dengan capaian pembelajaran lulusan. </t>
  </si>
  <si>
    <t>C.6.4.d) Pelaksanaan Proses Pembelajaran</t>
  </si>
  <si>
    <t>A. Bentuk interaksi antara dosen, mahasiswa dan sumber belajar</t>
  </si>
  <si>
    <t>Pelaksanaan pembelajaran berlangsung dalam bentuk interaksi antara dosen, mahasiswa, dan sumber belajar dalam lingkungan belajar tertentu secara on-line dan off-line dalam bentuk audio-visual terdokumentasi.</t>
  </si>
  <si>
    <t>Pelaksanaan pembelajaran berlangsung dalam bentuk interaksi antara dosen, mahasiswa, dan sumber belajar dalam lingkungan belajar tertentu secara on-line dan off-line.</t>
  </si>
  <si>
    <t>Pelaksanaan pembelajaran berlangsung dalam bentuk interaksi antara dosen, mahasiswa, dan sumber belajar dalam lingkungan belajar tertentu.</t>
  </si>
  <si>
    <t>Pelaksanaan pembelajaran berlangsung hanya sebagian dalam bentuk interaksi antara dosen, mahasiswa, dan sumber belajar dalam lingkungan belajar tertentu.</t>
  </si>
  <si>
    <t>Pelaksanaan pembelajaran tidak berlangsung dalam bentuk interaksi antara dosen dan mahasiswa</t>
  </si>
  <si>
    <t>B. Pemantauan kesesuaian proses terhadap rencana pembelajaran</t>
  </si>
  <si>
    <t>Memiliki bukti sahih adanya sistem dan pelaksanaan pemantauan proses pembelajaran yang dilaksanakan secara periodik untuk menjamin kesesuaian dengan RPS dalam rangka menjaga mutu proses pembelajaran. Hasil monev  terdokumentasi dengan baik dan digunakan untuk meningkatkan mutu proses pembelajaran.</t>
  </si>
  <si>
    <t>Memiliki bukti sahih adanya sistem dan  pelaksanaan pemantauan proses pembelajaran yang dilaksanakan secara periodik untuk menjamin kesesuaian dengan RPS dalam rangka menjaga mutu proses pembelajaran. Hasil monev  terdokumentasi dengan baik.</t>
  </si>
  <si>
    <t xml:space="preserve">Memiliki bukti sahih adanya sistem dan pelaksanaan pemantauan proses pembelajaran yang dilaksanakan secara periodik untuk mengukur kesesuaian terhadap RPS. </t>
  </si>
  <si>
    <t>Memiliki bukti sahih adanya sistem pemantauan proses pembelajaran namun tidak dilaksanakan secara konsisten.</t>
  </si>
  <si>
    <t>Tidak memiliki bukti sahih adanya sistem dan pelaksanaan pemantauan proses pembelajaran.</t>
  </si>
  <si>
    <t>C. Proses pembelajaran yang terkait dengan penelitian harus mengacu SN Dikti Penelitian: 1) hasil penelitian: harus memenuhi pengembangan IPTEKS, meningkatkan kesejahteraan masyarakat, dan daya saing bangsa. 2) isi penelitian: memenuhi kedalaman dan keluasan materi penelitian sesuai capaian pembelajaran. 3) proses penelitian: mencakup perencanaan, pelaksanaan, dan pelaporan. 4) penilaian penelitian memenuhi unsur edukatif, obyektif, akuntabel, dan transparan.</t>
  </si>
  <si>
    <t>Terdapat bukti sahih tentang pemenuhan SN Dikti Penelitian pada proses pembelajaran terkait penelitian serta pemenuhan SN Dikti Penelitian pada proses pembelajaran terkait penelitian.</t>
  </si>
  <si>
    <t>Tidak ada Skor antara 2 dan 4.</t>
  </si>
  <si>
    <t>Terdapat bukti sahih tentang pemenuhan SN Dikti Penelitian pada proses pembelajaran terkait penelitian namun tidak memenuhi SN Dikti Penelitian pada proses pembelajaran terkait penelitian.</t>
  </si>
  <si>
    <t>D. Proses pembelajaran yang terkait dengan PkM harus mengacu SN Dikti PkM: 1) hasil PkM: harus memenuhi pengembangan IPTEKS, meningkatkan kesejahteraan masyarakat, dan daya saing bangsa. 2) isi PkM: memenuhi kedalaman dan keluasan materi PkM sesuai capaian pembelajaran. 3) proses PkM:  mencakup perencanaan, pelaksanaan, dan pelaporan. 4) penilaian PkM memenuhi unsur edukatif, obyektif, akuntabel, dan transparan.</t>
  </si>
  <si>
    <t>Terdapat bukti sahih tentang pemenuhan SN Dikti PkM pada proses pembelajaran terkait PkM serta pemenuhan SN Dikti PkM pada proses pembelajaran terkait PkM.</t>
  </si>
  <si>
    <t>Terdapat bukti sahih tentang pemenuhan SN Dikti PkM pada proses pembelajaran terkait PkM namun tidak memenuhi SN Dikti PkM pada proses pembelajaran terkait PkM.</t>
  </si>
  <si>
    <t>E. Kesesuaian metode pembelajaran dengan capaian pembelajaran. Contoh: RBE (research based education), IBE (industry based education), teaching factory/teaching industry, dll.</t>
  </si>
  <si>
    <t>Terdapat bukti sahih yang menunjukkan metode pembelajaran yang dilaksanakan sesuai dengan capaian pembelajaran yang direncanakan pada 75% s.d. 100% mata kuliah.</t>
  </si>
  <si>
    <t>Terdapat bukti sahih yang menunjukkan metode pembelajaran yang dilaksanakan sesuai dengan capaian pembelajaran yang direncanakan pada 50 s.d. &lt; 75% mata kuliah.</t>
  </si>
  <si>
    <t>Terdapat bukti sahih yang menunjukkan metode pembelajaran yang dilaksanakan sesuai dengan capaian pembelajaran yang direncanakan pada 25 s.d. &lt; 50% mata kuliah.</t>
  </si>
  <si>
    <t>Terdapat bukti sahih yang menunjukkan metode pembelajaran yang dilaksanakan sesuai dengan capaian pembelajaran yang direncanakan pada &lt; 25% mata kuliah.</t>
  </si>
  <si>
    <t>Tidak terdapat bukti sahih yang menunjukkan metode pembelajaran yang dilaksanakan sesuai dengan capaian pembelajaran yang direncanakan.</t>
  </si>
  <si>
    <t>Skor = (A + (2 x B) + (2 x C) + (2 x D) + (2 x E)) / 9</t>
  </si>
  <si>
    <t>Pembelajaran yang dilaksanakan dalam bentuk praktikum, praktik studio, praktik bengkel, atau praktik lapangan.
Tabel 5.a LKPS</t>
  </si>
  <si>
    <r>
      <rPr>
        <sz val="11"/>
        <color indexed="8"/>
        <rFont val="Calibri"/>
        <charset val="134"/>
        <scheme val="minor"/>
      </rPr>
      <t>J</t>
    </r>
    <r>
      <rPr>
        <vertAlign val="subscript"/>
        <sz val="11"/>
        <color rgb="FF000000"/>
        <rFont val="Calibri"/>
        <charset val="134"/>
        <scheme val="minor"/>
      </rPr>
      <t>P</t>
    </r>
    <r>
      <rPr>
        <sz val="11"/>
        <color indexed="8"/>
        <rFont val="Calibri"/>
        <charset val="134"/>
        <scheme val="minor"/>
      </rPr>
      <t xml:space="preserve"> = Jam pembelajaran praktikum, praktik studio, praktik bengkel, atau praktik lapangan (termasuk KKN)</t>
    </r>
  </si>
  <si>
    <r>
      <rPr>
        <sz val="11"/>
        <rFont val="Calibri"/>
        <charset val="134"/>
        <scheme val="minor"/>
      </rPr>
      <t>J</t>
    </r>
    <r>
      <rPr>
        <vertAlign val="subscript"/>
        <sz val="11"/>
        <rFont val="Calibri"/>
        <charset val="134"/>
        <scheme val="minor"/>
      </rPr>
      <t>B</t>
    </r>
    <r>
      <rPr>
        <sz val="11"/>
        <rFont val="Calibri"/>
        <charset val="134"/>
        <scheme val="minor"/>
      </rPr>
      <t xml:space="preserve"> = Jam pembelajaran total selama masa pendidikan.</t>
    </r>
  </si>
  <si>
    <r>
      <rPr>
        <sz val="11"/>
        <color indexed="8"/>
        <rFont val="Calibri"/>
        <charset val="134"/>
        <scheme val="minor"/>
      </rPr>
      <t>P</t>
    </r>
    <r>
      <rPr>
        <vertAlign val="subscript"/>
        <sz val="11"/>
        <color rgb="FF000000"/>
        <rFont val="Calibri"/>
        <charset val="134"/>
        <scheme val="minor"/>
      </rPr>
      <t>JP</t>
    </r>
    <r>
      <rPr>
        <sz val="11"/>
        <color indexed="8"/>
        <rFont val="Calibri"/>
        <charset val="134"/>
        <scheme val="minor"/>
      </rPr>
      <t xml:space="preserve"> = (J</t>
    </r>
    <r>
      <rPr>
        <vertAlign val="subscript"/>
        <sz val="11"/>
        <color rgb="FF000000"/>
        <rFont val="Calibri"/>
        <charset val="134"/>
        <scheme val="minor"/>
      </rPr>
      <t>P</t>
    </r>
    <r>
      <rPr>
        <sz val="11"/>
        <color indexed="8"/>
        <rFont val="Calibri"/>
        <charset val="134"/>
        <scheme val="minor"/>
      </rPr>
      <t xml:space="preserve"> / J</t>
    </r>
    <r>
      <rPr>
        <vertAlign val="subscript"/>
        <sz val="11"/>
        <color rgb="FF000000"/>
        <rFont val="Calibri"/>
        <charset val="134"/>
        <scheme val="minor"/>
      </rPr>
      <t>B</t>
    </r>
    <r>
      <rPr>
        <sz val="11"/>
        <color indexed="8"/>
        <rFont val="Calibri"/>
        <charset val="134"/>
        <scheme val="minor"/>
      </rPr>
      <t>) x 100%</t>
    </r>
  </si>
  <si>
    <t>C.6.4.e) Monitoring dan Evaluasi Proses Pembelajaran</t>
  </si>
  <si>
    <t>Monitoring dan evaluasi pelaksanaan proses pembelajaran mencakup karakteristik, perencanaan, pelaksanaan, proses pembelajaran dan beban belajar mahasiswa untuk memperoleh capaian pembelajaran lulusan.</t>
  </si>
  <si>
    <t>UPPS memiliki bukti sahih tentang sistem dan pelaksanaan monitoring dan evaluasi proses pembelajaran mencakup karakteristik, perencanaan, pelaksanaan, proses pembelajaran dan beban belajar mahasiswa yang dilaksanakan secara konsisten dan ditindak lanjuti.</t>
  </si>
  <si>
    <t>UPPS memiliki bukti sahih tentang sistem dan pelaksanaan monitoring dan evaluasi proses pembelajaran mencakup karakteristik, perencanaan, pelaksanaan, proses pembelajaran dan beban belajar mahasiswa yang dilaksanakan secara konsisten.</t>
  </si>
  <si>
    <t>UPPS memiliki bukti sahih tentang sistem dan pelaksanaan monitoring dan evaluasi proses pembelajaran mencakup karakteristik, perencanaan, pelaksanaan, proses pembelajaran dan beban belajar mahasiswa.</t>
  </si>
  <si>
    <t>UPPS telah melaksanakan monitoring dan evaluasi proses pembelajaran mencakup karakteristik, perencanaan, pelaksanaan, proses pembelajaran dan beban belajar mahasiswa namun tidak semua didukung bukti sahih.</t>
  </si>
  <si>
    <t>UPPS tidak melaksanakan monitoring dan evaluasi proses pembelajaran mencakup karakteristik, perencanaan, pelaksanaan, proses pembelajaran dan beban belajar mahasiswa.</t>
  </si>
  <si>
    <t>C.6.4.f) Penilaian Pembelajaran</t>
  </si>
  <si>
    <t>A. Mutu pelaksanaan penilaian pembelajaran (proses dan hasil belajar mahasiswa) untuk mengukur ketercapaian capaian pembelajaran berdasarkan prinsip penilaian yang mencakup: 1) edukatif, 2) otentik, 3) objektif, 4) akuntabel, dan 5) transparan, yang dilakukan secara terintegrasi.</t>
  </si>
  <si>
    <t>Terdapat bukti sahih tentang dipenuhinya 5 prinsip penilaian yang dilakukan secara terintegrasi dan dilengkapi dengan rubrik/portofolio penilaian minimum 70% jumlah matakuliah.</t>
  </si>
  <si>
    <t>Terdapat bukti sahih tentang dipenuhinya 5 prinsip penilaian yang  dilakukan secara terintegrasi dan dilengkapi dengan rubrik/portofolio penilaian minimum 50% jumlah matakuliah.</t>
  </si>
  <si>
    <t>Terdapat bukti sahih tentang dipenuhinya 5 prinsip penilaian yang dilakukan secara terintegrasi.</t>
  </si>
  <si>
    <t>Terdapat bukti sahih tentang dipenuhinya 5 prinsip penilaian yang tidak dilakukan secara terintegrasi.</t>
  </si>
  <si>
    <t>Tidak terdapat bukti sahih tentang dipenuhinya 5 prinsip penilaian.</t>
  </si>
  <si>
    <t>B. Pelaksanaan penilaian terdiri atas teknik dan instrumen penilaian. 
Teknik penilaian terdiri dari: 1) observasi, 2) partisipasi, 3) unjuk kerja, 4) test tertulis, 5) test lisan, dan 6) angket.
Instrumen penilaian terdiri dari: 1) penilaian proses dalam bentuk rubrik, dan/ atau; 2) penilaian hasil dalam bentuk portofolio, atau 3) karya disain.</t>
  </si>
  <si>
    <t xml:space="preserve">Terdapat bukti sahih yang menunjukkan kesesuaian teknik dan instrumen penilaian terhadap capaian pembelajaran minimum 75% s.d. 100% dari jumlah matakuliah. </t>
  </si>
  <si>
    <t xml:space="preserve">Terdapat bukti sahih yang menunjukkan kesesuaian teknik dan instrumen penilaian terhadap capaian pembelajaran minimum 50 s.d. &lt; 75% dari jumlah matakuliah.  </t>
  </si>
  <si>
    <t xml:space="preserve">Terdapat bukti sahih yang menunjukkan kesesuaian teknik dan instrumen penilaian terhadap capaian pembelajaran yang dinilai minimum 25 s.d. &lt; 50%  dari jumlah matakuliah.  </t>
  </si>
  <si>
    <t xml:space="preserve">Terdapat bukti sahih yang menunjukkan kesesuaian teknik dan instrumen penilaian terhadap capaian pembelajaran yang dinilai &lt; 25% dari jumlah matakuliah.  </t>
  </si>
  <si>
    <t>Tidak terdapat bukti sahih yang menunjukkan kesesuaian teknik dan instrumen penilaian terhadap capaian pembelajaran.</t>
  </si>
  <si>
    <t>C. Pelaksanaan penilaian memuat unsur-unsur sebagai berikut: 1) mempunyai kontrak rencana penilaian, 2) melaksanakan penilaian sesuai kontrak atau kesepakatan, 3) memberikan umpan balik dan memberi kesempatan untuk mempertanyakan hasil kepada mahasiswa, 4) mempunyai dokumentasi penilaian proses dan hasil belajar mahasiswa, 5) mempunyai prosedur yang mencakup tahap perencanaan, kegiatan pemberian tugas atau soal, observasi kinerja, pengembalian hasil observasi, dan pemberian nilai akhir, 6) pelaporan penilaian berupa kualifikasi keberhasilan mahasiswa dalam menempuh suatu mata kuliah dalam bentuk huruf dan angka, 7) mempunyai bukti-bukti rencana dan telah melakukan proses perbaikan berdasar hasil monev penilaian.</t>
  </si>
  <si>
    <t>C.6.4.g) Integrasi kegiatan penelitian dan PkM dalam pembelajaran</t>
  </si>
  <si>
    <t>Integrasi kegiatan penelitian dan PkM dalam pembelajaran oleh DTPS dalam 3 tahun terakhir.
Tabel 5.b LKPS</t>
  </si>
  <si>
    <t>MK = Jumlah mata kuliah yang dikembangkan berdasarkan hasil penelitian/PkM DTPS dalam 3 tahun terakhir.</t>
  </si>
  <si>
    <t>C.6.4.h) Suasana Akademik</t>
  </si>
  <si>
    <t>Keterlaksanaan dan keberkalaan program dan kegiatan diluar kegiatan pembelajaran terstruktur untuk meningkatkan suasana akademik.
Contoh: kegiatan himpunan mahasiswa, kuliah umum/studium generale, seminar ilmiah, bedah buku.</t>
  </si>
  <si>
    <t>Kegiatan ilmiah yang terjadwal dilaksanakan setiap bulan.</t>
  </si>
  <si>
    <t>Kegiatan ilmiah yang terjadwal dilaksanakan dua s.d tiga bulan sekali.</t>
  </si>
  <si>
    <t>Kegiatan ilmiah yang terjadwal dilaksanakan empat s.d. enam bulan sekali.</t>
  </si>
  <si>
    <t>Kegiatan ilmiah yang terjadwal dilaksanakan lebih dari enam bulan sekali.</t>
  </si>
  <si>
    <t>C.6.4.i) Kepuasan Mahasiswa</t>
  </si>
  <si>
    <r>
      <rPr>
        <sz val="11"/>
        <color indexed="8"/>
        <rFont val="Calibri"/>
        <charset val="134"/>
        <scheme val="minor"/>
      </rPr>
      <t>A. Tingkat kepuasan mahasiswa terhadap proses pendidikan.
Tabel 5.c LKPS
Aspek yang diukur: 1) Keandalan (</t>
    </r>
    <r>
      <rPr>
        <i/>
        <sz val="11"/>
        <color indexed="8"/>
        <rFont val="Calibri"/>
        <charset val="134"/>
      </rPr>
      <t>reliability</t>
    </r>
    <r>
      <rPr>
        <sz val="11"/>
        <color indexed="8"/>
        <rFont val="Calibri"/>
        <charset val="134"/>
        <scheme val="minor"/>
      </rPr>
      <t>): kemampuan dosen, tenaga kependidikan, dan pengelola dalam memberikan pelayanan; 2) Daya tanggap (responsiveness): kemauan dari dosen, tenaga kependidikan, dan pengelola dalam membantu mahasiswa dan memberikan jasa dengan cepat; 3) Kepastian (assurance): kemampuan dosen, tenaga kependidikan, dan pengelola untuk memberi keyakinan kepada mahasiswa bahwa pelayanan yang diberikan telah sesuai dengan ketentuan; 4) Empati (empathy): kesediaan/kepedulian dosen, tenaga kependidikan, dan pengelola untuk memberi perhatian kepada mahasiswa; dan 5) Tangible: penilaian mahasiswa terhadap kecukupan, aksesibitas, kualitas sarana dan prasarana.</t>
    </r>
  </si>
  <si>
    <t>Reliability</t>
  </si>
  <si>
    <t>% Sangat Baik</t>
  </si>
  <si>
    <t>% Baik</t>
  </si>
  <si>
    <t>% Cukup</t>
  </si>
  <si>
    <t>% Kurang</t>
  </si>
  <si>
    <r>
      <rPr>
        <sz val="11"/>
        <rFont val="Calibri"/>
        <charset val="134"/>
        <scheme val="minor"/>
      </rPr>
      <t>TKM</t>
    </r>
    <r>
      <rPr>
        <vertAlign val="subscript"/>
        <sz val="11"/>
        <rFont val="Calibri"/>
        <charset val="134"/>
        <scheme val="minor"/>
      </rPr>
      <t>1</t>
    </r>
  </si>
  <si>
    <t>Responsiveness</t>
  </si>
  <si>
    <r>
      <rPr>
        <sz val="11"/>
        <rFont val="Calibri"/>
        <charset val="134"/>
        <scheme val="minor"/>
      </rPr>
      <t>TKM</t>
    </r>
    <r>
      <rPr>
        <vertAlign val="subscript"/>
        <sz val="11"/>
        <rFont val="Calibri"/>
        <charset val="134"/>
        <scheme val="minor"/>
      </rPr>
      <t>2</t>
    </r>
  </si>
  <si>
    <t>Assurance</t>
  </si>
  <si>
    <r>
      <rPr>
        <sz val="11"/>
        <rFont val="Calibri"/>
        <charset val="134"/>
        <scheme val="minor"/>
      </rPr>
      <t>TKM</t>
    </r>
    <r>
      <rPr>
        <vertAlign val="subscript"/>
        <sz val="11"/>
        <rFont val="Calibri"/>
        <charset val="134"/>
        <scheme val="minor"/>
      </rPr>
      <t>3</t>
    </r>
  </si>
  <si>
    <t>Empathy</t>
  </si>
  <si>
    <r>
      <rPr>
        <sz val="11"/>
        <rFont val="Calibri"/>
        <charset val="134"/>
        <scheme val="minor"/>
      </rPr>
      <t>TKM</t>
    </r>
    <r>
      <rPr>
        <vertAlign val="subscript"/>
        <sz val="11"/>
        <rFont val="Calibri"/>
        <charset val="134"/>
        <scheme val="minor"/>
      </rPr>
      <t>4</t>
    </r>
  </si>
  <si>
    <t>Tangible</t>
  </si>
  <si>
    <r>
      <rPr>
        <sz val="11"/>
        <rFont val="Calibri"/>
        <charset val="134"/>
        <scheme val="minor"/>
      </rPr>
      <t>TKM</t>
    </r>
    <r>
      <rPr>
        <vertAlign val="subscript"/>
        <sz val="11"/>
        <rFont val="Calibri"/>
        <charset val="134"/>
        <scheme val="minor"/>
      </rPr>
      <t>5</t>
    </r>
  </si>
  <si>
    <r>
      <rPr>
        <sz val="11"/>
        <color indexed="8"/>
        <rFont val="Calibri"/>
        <charset val="134"/>
        <scheme val="minor"/>
      </rPr>
      <t>TKM = ƩTKM</t>
    </r>
    <r>
      <rPr>
        <vertAlign val="subscript"/>
        <sz val="11"/>
        <color rgb="FF000000"/>
        <rFont val="Calibri"/>
        <charset val="134"/>
        <scheme val="minor"/>
      </rPr>
      <t>i</t>
    </r>
    <r>
      <rPr>
        <sz val="11"/>
        <color indexed="8"/>
        <rFont val="Calibri"/>
        <charset val="134"/>
        <scheme val="minor"/>
      </rPr>
      <t xml:space="preserve"> / 5</t>
    </r>
  </si>
  <si>
    <t>B. Analisis dan tindak lanjut dari hasil pengukuran kepuasan mahasiswa.</t>
  </si>
  <si>
    <t>Hasil pengukuran dianalisis dan ditindaklanjuti minimal 2 kali setiap semester, serta digunakan untuk perbaikan proses pembelajaran dan menunjukkan peningkatan hasil pembelajaran.</t>
  </si>
  <si>
    <t>Hasil pengukuran dianalisis dan ditindaklanjuti setiap semester, serta digunakan untuk perbaikan proses pembelajaran dan menunjukkan peningkatan hasil pembelajaran.</t>
  </si>
  <si>
    <t>Hasil pengukuran dianalisis dan ditindaklanjuti setiap tahun, serta digunakan untuk perbaikan proses pembelajaran.</t>
  </si>
  <si>
    <t>Hasil pengukuran dianalisis dan ditindaklanjuti, serta digunakan untuk perbaikan proses pembelajaran, namun dilakukan secara insidentil.</t>
  </si>
  <si>
    <t>Tidak dilakukan analisis terhadap hasil pengukuran kepuasan terhadap proses pembelajaran.</t>
  </si>
  <si>
    <r>
      <rPr>
        <b/>
        <sz val="11"/>
        <color theme="1"/>
        <rFont val="Calibri"/>
        <charset val="134"/>
        <scheme val="minor"/>
      </rPr>
      <t>C.7
Penelitian</t>
    </r>
    <r>
      <rPr>
        <sz val="11"/>
        <color theme="1"/>
        <rFont val="Calibri"/>
        <charset val="134"/>
        <scheme val="minor"/>
      </rPr>
      <t xml:space="preserve">
C.7.4
Indikator Kinerja Utama
C.7.4.a)
Relevansi Penelitian
</t>
    </r>
  </si>
  <si>
    <t>Relevansi penelitian pada UPPS mencakup unsur-unsur sebagai berikut: 
1) memiliki peta jalan yang memayungi tema penelitian dosen dan mahasiswa,
2) dosen dan mahasiswa melaksanakan penelitian sesuai dengan agenda penelitian dosen yang merujuk kepada peta jalan penelitian. 
3) melakukan evaluasi kesesuaian penelitian dosen dan mahasiswa dengan peta jalan, dan 
4) menggunakan hasil evaluasi untuk perbaikan relevansi penelitian dan pengembangan keilmuan program studi.</t>
  </si>
  <si>
    <t>UPPS memenuhi 4 unsur relevansi penelitian dosen dan mahasiswa.</t>
  </si>
  <si>
    <t>UPPS memenuhi  unsur 1, 2, dan 3 relevansi penelitian dosen dan mahasiswa.</t>
  </si>
  <si>
    <t>UPPS memenuhi  unsur 1, dan 2 relevansi penelitian dosen dan mahasiswa.</t>
  </si>
  <si>
    <t>UPPS memenuhi  unsur pertama namun penelitian dosen dan mahasiswa tidak sesuai dengan peta jalan.</t>
  </si>
  <si>
    <t>UPPS tidak mempunyai peta jalan penelitian dosen dan mahasiswa.</t>
  </si>
  <si>
    <t>C.7.4.b) Penelitian Dosen dan Mahasiswa</t>
  </si>
  <si>
    <t>Penelitian DTPS yang dalam pelaksanaannya melibatkan mahasiswa program studi dalam 3 tahun terakhir.
Tabel 6.a LKPS</t>
  </si>
  <si>
    <r>
      <rPr>
        <sz val="11"/>
        <color indexed="8"/>
        <rFont val="Calibri"/>
        <charset val="134"/>
        <scheme val="minor"/>
      </rPr>
      <t>N</t>
    </r>
    <r>
      <rPr>
        <vertAlign val="subscript"/>
        <sz val="11"/>
        <color rgb="FF000000"/>
        <rFont val="Calibri"/>
        <charset val="134"/>
        <scheme val="minor"/>
      </rPr>
      <t>PM</t>
    </r>
    <r>
      <rPr>
        <sz val="11"/>
        <color indexed="8"/>
        <rFont val="Calibri"/>
        <charset val="134"/>
        <scheme val="minor"/>
      </rPr>
      <t xml:space="preserve"> = Jumlah judul penelitian DTPS yang dalam pelaksanaannya melibatkan mahasiswa program studi dalam 3 tahun terakhir.</t>
    </r>
  </si>
  <si>
    <r>
      <rPr>
        <sz val="11"/>
        <rFont val="Calibri"/>
        <charset val="134"/>
        <scheme val="minor"/>
      </rPr>
      <t>N</t>
    </r>
    <r>
      <rPr>
        <vertAlign val="subscript"/>
        <sz val="11"/>
        <rFont val="Calibri"/>
        <charset val="134"/>
        <scheme val="minor"/>
      </rPr>
      <t>PD</t>
    </r>
    <r>
      <rPr>
        <sz val="11"/>
        <rFont val="Calibri"/>
        <charset val="134"/>
        <scheme val="minor"/>
      </rPr>
      <t xml:space="preserve"> = Jumlah judul penelitian DTPS dalam 3 tahun terakhir. </t>
    </r>
  </si>
  <si>
    <r>
      <rPr>
        <sz val="11"/>
        <color indexed="8"/>
        <rFont val="Calibri"/>
        <charset val="134"/>
        <scheme val="minor"/>
      </rPr>
      <t>P</t>
    </r>
    <r>
      <rPr>
        <vertAlign val="subscript"/>
        <sz val="11"/>
        <color rgb="FF000000"/>
        <rFont val="Calibri"/>
        <charset val="134"/>
        <scheme val="minor"/>
      </rPr>
      <t>PDM</t>
    </r>
    <r>
      <rPr>
        <sz val="11"/>
        <color indexed="8"/>
        <rFont val="Calibri"/>
        <charset val="134"/>
        <scheme val="minor"/>
      </rPr>
      <t xml:space="preserve"> = (N</t>
    </r>
    <r>
      <rPr>
        <vertAlign val="subscript"/>
        <sz val="11"/>
        <color rgb="FF000000"/>
        <rFont val="Calibri"/>
        <charset val="134"/>
        <scheme val="minor"/>
      </rPr>
      <t>PM</t>
    </r>
    <r>
      <rPr>
        <sz val="11"/>
        <color indexed="8"/>
        <rFont val="Calibri"/>
        <charset val="134"/>
        <scheme val="minor"/>
      </rPr>
      <t xml:space="preserve"> / N</t>
    </r>
    <r>
      <rPr>
        <vertAlign val="subscript"/>
        <sz val="11"/>
        <color rgb="FF000000"/>
        <rFont val="Calibri"/>
        <charset val="134"/>
        <scheme val="minor"/>
      </rPr>
      <t>PkMD</t>
    </r>
    <r>
      <rPr>
        <sz val="11"/>
        <color indexed="8"/>
        <rFont val="Calibri"/>
        <charset val="134"/>
        <scheme val="minor"/>
      </rPr>
      <t xml:space="preserve">) x 100% </t>
    </r>
  </si>
  <si>
    <r>
      <rPr>
        <b/>
        <sz val="11"/>
        <color theme="1"/>
        <rFont val="Calibri"/>
        <charset val="134"/>
        <scheme val="minor"/>
      </rPr>
      <t>C.8
Pengabdian kepada Masyarakat</t>
    </r>
    <r>
      <rPr>
        <sz val="11"/>
        <color theme="1"/>
        <rFont val="Calibri"/>
        <charset val="134"/>
        <scheme val="minor"/>
      </rPr>
      <t xml:space="preserve">
C.8.4
Indikator Kinerja Utama
C.8.4.a)
Relevansi PkM</t>
    </r>
  </si>
  <si>
    <t>Relevansi PkM pada UPPS mencakup unsur-unsur sebagai berikut: 
1) memiliki peta jalan yang memayungi tema PkM dosen dan mahasiswa serta hilirisasi/penerapan keilmuan program studi, 
2) dosen dan mahasiswa melaksanakan PkM sesuai dengan peta jalan PkM. 
3) melakukan evaluasi kesesuaian PkM dosen dan mahasiswa dengan peta jalan, dan 
4) menggunakan hasil evaluasi untuk perbaikan relevansi PkM dan pengembangan keilmuan program studi.</t>
  </si>
  <si>
    <t>UPPS memenuhi 4 unsur relevansi PkM dosen dan mahasiswa.</t>
  </si>
  <si>
    <t>UPPS memenuhi  unsur 1, 2, dan 3 relevansi PkM dosen dan mahasiswa.</t>
  </si>
  <si>
    <t>UPPS memenuhi  unsur 1, dan 2 relevansi PkM dosen dan mahasiswa.</t>
  </si>
  <si>
    <t>UPPS memenuhi  unsur pertama namun PkM dosen dan mahasiswa tidak sesuai dengan peta jalan.</t>
  </si>
  <si>
    <t>UPPS tidak mempunyai peta jalan PkM dosen dan mahasiswa.</t>
  </si>
  <si>
    <t>C.8.4.b) PkM Dosen dan Mahasiswa</t>
  </si>
  <si>
    <t>PkM DTPS yang dalam pelaksanaannya melibatkan mahasiswa program studi dalam 3 tahun terakhir.
Tabel 7 LKPS</t>
  </si>
  <si>
    <r>
      <rPr>
        <sz val="11"/>
        <color indexed="8"/>
        <rFont val="Calibri"/>
        <charset val="134"/>
        <scheme val="minor"/>
      </rPr>
      <t>N</t>
    </r>
    <r>
      <rPr>
        <vertAlign val="subscript"/>
        <sz val="11"/>
        <color rgb="FF000000"/>
        <rFont val="Calibri"/>
        <charset val="134"/>
        <scheme val="minor"/>
      </rPr>
      <t>PkMM</t>
    </r>
    <r>
      <rPr>
        <sz val="11"/>
        <color indexed="8"/>
        <rFont val="Calibri"/>
        <charset val="134"/>
        <scheme val="minor"/>
      </rPr>
      <t xml:space="preserve"> = Jumlah judul PkM DTPS yang dalam pelaksanaannya melibatkan mahasiswa program studi dalam 3 tahun terakhir.</t>
    </r>
  </si>
  <si>
    <r>
      <rPr>
        <sz val="11"/>
        <rFont val="Calibri"/>
        <charset val="134"/>
        <scheme val="minor"/>
      </rPr>
      <t>N</t>
    </r>
    <r>
      <rPr>
        <vertAlign val="subscript"/>
        <sz val="11"/>
        <rFont val="Calibri"/>
        <charset val="134"/>
        <scheme val="minor"/>
      </rPr>
      <t>PkMD</t>
    </r>
    <r>
      <rPr>
        <sz val="11"/>
        <rFont val="Calibri"/>
        <charset val="134"/>
        <scheme val="minor"/>
      </rPr>
      <t xml:space="preserve"> = Jumlah judul PkM DTPS dalam 3 tahun terakhir. </t>
    </r>
  </si>
  <si>
    <r>
      <rPr>
        <sz val="11"/>
        <color indexed="8"/>
        <rFont val="Calibri"/>
        <charset val="134"/>
        <scheme val="minor"/>
      </rPr>
      <t>P</t>
    </r>
    <r>
      <rPr>
        <vertAlign val="subscript"/>
        <sz val="11"/>
        <color rgb="FF000000"/>
        <rFont val="Calibri"/>
        <charset val="134"/>
        <scheme val="minor"/>
      </rPr>
      <t>PkMDM</t>
    </r>
    <r>
      <rPr>
        <sz val="11"/>
        <color indexed="8"/>
        <rFont val="Calibri"/>
        <charset val="134"/>
        <scheme val="minor"/>
      </rPr>
      <t xml:space="preserve"> = (N</t>
    </r>
    <r>
      <rPr>
        <vertAlign val="subscript"/>
        <sz val="11"/>
        <color rgb="FF000000"/>
        <rFont val="Calibri"/>
        <charset val="134"/>
        <scheme val="minor"/>
      </rPr>
      <t>PkMM</t>
    </r>
    <r>
      <rPr>
        <sz val="11"/>
        <color indexed="8"/>
        <rFont val="Calibri"/>
        <charset val="134"/>
        <scheme val="minor"/>
      </rPr>
      <t xml:space="preserve"> / N</t>
    </r>
    <r>
      <rPr>
        <vertAlign val="subscript"/>
        <sz val="11"/>
        <color rgb="FF000000"/>
        <rFont val="Calibri"/>
        <charset val="134"/>
        <scheme val="minor"/>
      </rPr>
      <t>PkMD</t>
    </r>
    <r>
      <rPr>
        <sz val="11"/>
        <color indexed="8"/>
        <rFont val="Calibri"/>
        <charset val="134"/>
        <scheme val="minor"/>
      </rPr>
      <t xml:space="preserve">) x 100% </t>
    </r>
  </si>
  <si>
    <r>
      <rPr>
        <b/>
        <sz val="11"/>
        <color theme="1"/>
        <rFont val="Calibri"/>
        <charset val="134"/>
        <scheme val="minor"/>
      </rPr>
      <t>C.9
Luaran dan Capaian Tridharma</t>
    </r>
    <r>
      <rPr>
        <sz val="11"/>
        <color theme="1"/>
        <rFont val="Calibri"/>
        <charset val="134"/>
        <scheme val="minor"/>
      </rPr>
      <t xml:space="preserve">
C.9.4 
Indikator Kinerja Utama
C.9.4.a)
Luaran Dharma Pendidikan</t>
    </r>
  </si>
  <si>
    <t>Analisis pemenuhan capaian pembelajaran lulusan (CPL) yang diukur dengan metoda yang sahih dan relevan, mencakup aspek:
1) keserbacakupan, 
2) kedalaman, dan 
3) kebermanfaatan analisis yang ditunjukkan dengan peningkatan CPL dari waktu ke waktu dalam 3 tahun terakhir.</t>
  </si>
  <si>
    <t xml:space="preserve">Analisis capaian pembelajaran lulusan memenuhi 3 aspek. </t>
  </si>
  <si>
    <t xml:space="preserve">Analisis capaian pembelajaran lulusan memenuhi 2 aspek. </t>
  </si>
  <si>
    <t xml:space="preserve">Analisis capaian pembelajaran lulusan memenuhi 1 aspek. </t>
  </si>
  <si>
    <t xml:space="preserve">Analisis capaian pembelajaran lulusan tidak memenuhi ketiga aspek. </t>
  </si>
  <si>
    <t>Tidak dilakukan analisis capaian pembelajaran lulusan.</t>
  </si>
  <si>
    <t>IPK lulusan.
Tabel 8.a LKPS</t>
  </si>
  <si>
    <t>Jumlah Lulusan pada TS-2</t>
  </si>
  <si>
    <t>Jumlah Lulusan pada TS-1</t>
  </si>
  <si>
    <t>Jumlah Lulusan pada TS</t>
  </si>
  <si>
    <t>IPK Rata-rata pada TS-2</t>
  </si>
  <si>
    <t>IPK Rata-rata pada TS-1</t>
  </si>
  <si>
    <t>IPK Rata-rata pada TS</t>
  </si>
  <si>
    <t>RIPK = Rata-rata IPK lulusan dalam 3 tahun terakhir.</t>
  </si>
  <si>
    <t>Prestasi mahasiswa di bidang akademik dalam 3 tahun terakhir.
Tabel 8.b.1) LKPS</t>
  </si>
  <si>
    <r>
      <rPr>
        <sz val="11"/>
        <color indexed="8"/>
        <rFont val="Calibri"/>
        <charset val="134"/>
        <scheme val="minor"/>
      </rPr>
      <t>N</t>
    </r>
    <r>
      <rPr>
        <vertAlign val="subscript"/>
        <sz val="11"/>
        <color theme="1"/>
        <rFont val="Calibri"/>
        <charset val="134"/>
        <scheme val="minor"/>
      </rPr>
      <t>I</t>
    </r>
    <r>
      <rPr>
        <sz val="11"/>
        <color theme="1"/>
        <rFont val="Calibri"/>
        <charset val="134"/>
        <scheme val="minor"/>
      </rPr>
      <t xml:space="preserve"> = Jumlah prestasi akademik internasional.</t>
    </r>
  </si>
  <si>
    <r>
      <rPr>
        <sz val="11"/>
        <color indexed="8"/>
        <rFont val="Calibri"/>
        <charset val="134"/>
        <scheme val="minor"/>
      </rPr>
      <t>N</t>
    </r>
    <r>
      <rPr>
        <vertAlign val="subscript"/>
        <sz val="11"/>
        <color theme="1"/>
        <rFont val="Calibri"/>
        <charset val="134"/>
        <scheme val="minor"/>
      </rPr>
      <t>N</t>
    </r>
    <r>
      <rPr>
        <sz val="11"/>
        <color theme="1"/>
        <rFont val="Calibri"/>
        <charset val="134"/>
        <scheme val="minor"/>
      </rPr>
      <t xml:space="preserve"> = Jumlah prestasi akademik nasional.</t>
    </r>
  </si>
  <si>
    <r>
      <rPr>
        <sz val="11"/>
        <color indexed="8"/>
        <rFont val="Calibri"/>
        <charset val="134"/>
        <scheme val="minor"/>
      </rPr>
      <t>N</t>
    </r>
    <r>
      <rPr>
        <vertAlign val="subscript"/>
        <sz val="11"/>
        <color theme="1"/>
        <rFont val="Calibri"/>
        <charset val="134"/>
        <scheme val="minor"/>
      </rPr>
      <t>W</t>
    </r>
    <r>
      <rPr>
        <sz val="11"/>
        <color theme="1"/>
        <rFont val="Calibri"/>
        <charset val="134"/>
        <scheme val="minor"/>
      </rPr>
      <t xml:space="preserve"> = Jumlah prestasi akademik wilayah/lokal.</t>
    </r>
  </si>
  <si>
    <r>
      <rPr>
        <sz val="11"/>
        <color indexed="8"/>
        <rFont val="Calibri"/>
        <charset val="134"/>
        <scheme val="minor"/>
      </rPr>
      <t>N</t>
    </r>
    <r>
      <rPr>
        <vertAlign val="subscript"/>
        <sz val="11"/>
        <color theme="1"/>
        <rFont val="Calibri"/>
        <charset val="134"/>
        <scheme val="minor"/>
      </rPr>
      <t>M</t>
    </r>
    <r>
      <rPr>
        <sz val="11"/>
        <color theme="1"/>
        <rFont val="Calibri"/>
        <charset val="134"/>
        <scheme val="minor"/>
      </rPr>
      <t xml:space="preserve"> = Jumlah mahasiswa pada saat TS.</t>
    </r>
  </si>
  <si>
    <r>
      <rPr>
        <sz val="11"/>
        <color indexed="8"/>
        <rFont val="Calibri"/>
        <charset val="134"/>
        <scheme val="minor"/>
      </rPr>
      <t>R</t>
    </r>
    <r>
      <rPr>
        <vertAlign val="subscript"/>
        <sz val="11"/>
        <color theme="1"/>
        <rFont val="Calibri"/>
        <charset val="134"/>
        <scheme val="minor"/>
      </rPr>
      <t>I</t>
    </r>
    <r>
      <rPr>
        <sz val="11"/>
        <color theme="1"/>
        <rFont val="Calibri"/>
        <charset val="134"/>
        <scheme val="minor"/>
      </rPr>
      <t xml:space="preserve"> = N</t>
    </r>
    <r>
      <rPr>
        <vertAlign val="subscript"/>
        <sz val="11"/>
        <color theme="1"/>
        <rFont val="Calibri"/>
        <charset val="134"/>
        <scheme val="minor"/>
      </rPr>
      <t>I</t>
    </r>
    <r>
      <rPr>
        <sz val="11"/>
        <color theme="1"/>
        <rFont val="Calibri"/>
        <charset val="134"/>
        <scheme val="minor"/>
      </rPr>
      <t xml:space="preserve"> / N</t>
    </r>
    <r>
      <rPr>
        <vertAlign val="subscript"/>
        <sz val="11"/>
        <color theme="1"/>
        <rFont val="Calibri"/>
        <charset val="134"/>
        <scheme val="minor"/>
      </rPr>
      <t>M</t>
    </r>
  </si>
  <si>
    <r>
      <rPr>
        <sz val="11"/>
        <color indexed="8"/>
        <rFont val="Calibri"/>
        <charset val="134"/>
        <scheme val="minor"/>
      </rPr>
      <t>R</t>
    </r>
    <r>
      <rPr>
        <vertAlign val="subscript"/>
        <sz val="11"/>
        <color theme="1"/>
        <rFont val="Calibri"/>
        <charset val="134"/>
        <scheme val="minor"/>
      </rPr>
      <t>N</t>
    </r>
    <r>
      <rPr>
        <sz val="11"/>
        <color theme="1"/>
        <rFont val="Calibri"/>
        <charset val="134"/>
        <scheme val="minor"/>
      </rPr>
      <t xml:space="preserve"> = N</t>
    </r>
    <r>
      <rPr>
        <vertAlign val="subscript"/>
        <sz val="11"/>
        <color theme="1"/>
        <rFont val="Calibri"/>
        <charset val="134"/>
        <scheme val="minor"/>
      </rPr>
      <t>N</t>
    </r>
    <r>
      <rPr>
        <sz val="11"/>
        <color theme="1"/>
        <rFont val="Calibri"/>
        <charset val="134"/>
        <scheme val="minor"/>
      </rPr>
      <t xml:space="preserve"> / N</t>
    </r>
    <r>
      <rPr>
        <vertAlign val="subscript"/>
        <sz val="11"/>
        <color theme="1"/>
        <rFont val="Calibri"/>
        <charset val="134"/>
        <scheme val="minor"/>
      </rPr>
      <t>M</t>
    </r>
  </si>
  <si>
    <r>
      <rPr>
        <sz val="11"/>
        <color indexed="8"/>
        <rFont val="Calibri"/>
        <charset val="134"/>
        <scheme val="minor"/>
      </rPr>
      <t>R</t>
    </r>
    <r>
      <rPr>
        <vertAlign val="subscript"/>
        <sz val="11"/>
        <color theme="1"/>
        <rFont val="Calibri"/>
        <charset val="134"/>
        <scheme val="minor"/>
      </rPr>
      <t>W</t>
    </r>
    <r>
      <rPr>
        <sz val="11"/>
        <color theme="1"/>
        <rFont val="Calibri"/>
        <charset val="134"/>
        <scheme val="minor"/>
      </rPr>
      <t xml:space="preserve"> = N</t>
    </r>
    <r>
      <rPr>
        <vertAlign val="subscript"/>
        <sz val="11"/>
        <color theme="1"/>
        <rFont val="Calibri"/>
        <charset val="134"/>
        <scheme val="minor"/>
      </rPr>
      <t>W</t>
    </r>
    <r>
      <rPr>
        <sz val="11"/>
        <color theme="1"/>
        <rFont val="Calibri"/>
        <charset val="134"/>
        <scheme val="minor"/>
      </rPr>
      <t xml:space="preserve"> / N</t>
    </r>
    <r>
      <rPr>
        <vertAlign val="subscript"/>
        <sz val="11"/>
        <color theme="1"/>
        <rFont val="Calibri"/>
        <charset val="134"/>
        <scheme val="minor"/>
      </rPr>
      <t>M</t>
    </r>
  </si>
  <si>
    <t>2: RI = 0 DAN RN = 0 DAN RW ≥ c</t>
  </si>
  <si>
    <t>0-2: RI = 0 DAN RN = 0 DAN RW &lt; c</t>
  </si>
  <si>
    <t>Prestasi mahasiswa di bidang nonakademik dalam 3 tahun terakhir.
Tabel 8.b.2) LKPS</t>
  </si>
  <si>
    <r>
      <rPr>
        <sz val="11"/>
        <color indexed="8"/>
        <rFont val="Calibri"/>
        <charset val="134"/>
        <scheme val="minor"/>
      </rPr>
      <t>N</t>
    </r>
    <r>
      <rPr>
        <vertAlign val="subscript"/>
        <sz val="11"/>
        <color theme="1"/>
        <rFont val="Calibri"/>
        <charset val="134"/>
        <scheme val="minor"/>
      </rPr>
      <t>I</t>
    </r>
    <r>
      <rPr>
        <sz val="11"/>
        <color theme="1"/>
        <rFont val="Calibri"/>
        <charset val="134"/>
        <scheme val="minor"/>
      </rPr>
      <t xml:space="preserve"> = Jumlah prestasi nonakademik internasional.</t>
    </r>
  </si>
  <si>
    <r>
      <rPr>
        <sz val="11"/>
        <color indexed="8"/>
        <rFont val="Calibri"/>
        <charset val="134"/>
        <scheme val="minor"/>
      </rPr>
      <t>N</t>
    </r>
    <r>
      <rPr>
        <vertAlign val="subscript"/>
        <sz val="11"/>
        <color theme="1"/>
        <rFont val="Calibri"/>
        <charset val="134"/>
        <scheme val="minor"/>
      </rPr>
      <t>N</t>
    </r>
    <r>
      <rPr>
        <sz val="11"/>
        <color theme="1"/>
        <rFont val="Calibri"/>
        <charset val="134"/>
        <scheme val="minor"/>
      </rPr>
      <t xml:space="preserve"> = Jumlah prestasi nonakademik nasional.</t>
    </r>
  </si>
  <si>
    <r>
      <rPr>
        <sz val="11"/>
        <color indexed="8"/>
        <rFont val="Calibri"/>
        <charset val="134"/>
        <scheme val="minor"/>
      </rPr>
      <t>N</t>
    </r>
    <r>
      <rPr>
        <vertAlign val="subscript"/>
        <sz val="11"/>
        <color theme="1"/>
        <rFont val="Calibri"/>
        <charset val="134"/>
        <scheme val="minor"/>
      </rPr>
      <t>W</t>
    </r>
    <r>
      <rPr>
        <sz val="11"/>
        <color theme="1"/>
        <rFont val="Calibri"/>
        <charset val="134"/>
        <scheme val="minor"/>
      </rPr>
      <t xml:space="preserve"> = Jumlah prestasi nonakademik wilayah/lokal.</t>
    </r>
  </si>
  <si>
    <t>Masa studi.
Tabel 8.c LKPS</t>
  </si>
  <si>
    <t>Jumlah lulusan pada akhir TS dari mahasiswa tahun masuk TS-6</t>
  </si>
  <si>
    <t>Rata-rata masa studi lulusan dari mahasiswa tahun masuk TS-6 (Tahun)</t>
  </si>
  <si>
    <t>Jumlah lulusan pada akhir TS dari mahasiswa tahun masuk TS-5</t>
  </si>
  <si>
    <t>Rata-rata masa studi lulusan dari mahasiswa tahun masuk TS-5 (Tahun)</t>
  </si>
  <si>
    <t>Jumlah lulusan pada akhir TS dari mahasiswa tahun masuk TS-4</t>
  </si>
  <si>
    <t>Rata-rata masa studi lulusan dari mahasiswa tahun masuk TS-4 (Tahun)</t>
  </si>
  <si>
    <t>Jumlah lulusan pada akhir TS dari mahasiswa tahun masuk TS-3</t>
  </si>
  <si>
    <t>Rata-rata masa studi lulusan dari mahasiswa tahun masuk TS-3 (Tahun)</t>
  </si>
  <si>
    <t>MS = Rata-rata masa studi lulusan (Tahun)</t>
  </si>
  <si>
    <t>Kelulusan tepat waktu.
Tabel 8.c LKPS</t>
  </si>
  <si>
    <t>Jumlah Mahasiswa Diterima pada TS-6</t>
  </si>
  <si>
    <t>Jumlah Mahasiswa Diterima pada TS-5</t>
  </si>
  <si>
    <t>Jumlah Mahasiswa Diterima pada TS-4</t>
  </si>
  <si>
    <t>Jumlah Mahasiswa Diterima pada TS-3</t>
  </si>
  <si>
    <t>Jumlah Mahasiswa yang Lulus pada Akhir TS-3</t>
  </si>
  <si>
    <t>Jumlah Mahasiswa yang Lulus pada Akhir TS-2</t>
  </si>
  <si>
    <t>Jumlah Mahasiswa yang Lulus pada Akhir TS-1</t>
  </si>
  <si>
    <t>Jumlah Mahasiswa yang Lulus pada Akhir TS</t>
  </si>
  <si>
    <t>PTW = Persentase kelulusan tepat waktu.</t>
  </si>
  <si>
    <t>Keberhasilan studi.
Tabel 8.c LKPS</t>
  </si>
  <si>
    <t>Jumlah mahasiswa diterima pada TS-6</t>
  </si>
  <si>
    <t>Jumlah mahasiswa yang lulus pada akhir TS-3</t>
  </si>
  <si>
    <t>Jumlah mahasiswa yang lulus pada akhir TS-2</t>
  </si>
  <si>
    <t>Jumlah mahasiswa yang lulus pada akhir TS-1</t>
  </si>
  <si>
    <t>Jumlah mahasiswa yang lulus pada akhir TS</t>
  </si>
  <si>
    <t>PPS = Persentase keberhasilan studi.</t>
  </si>
  <si>
    <t xml:space="preserve">Pelaksanaan tracer study yang mencakup 5 aspek sebagai berikut: 
1) pelaksanaan tracer study terkoordinasi di tingkat PT,
2) kegiatan tracer study dilakukan secara reguler setiap tahun dan terdokumentasi,
3) isi kuesioner mencakup seluruh pertanyaan inti tracer study DIKTI.
4) ditargetkan pada seluruh populasi (lulusan TS-4 s.d. TS-2),
5) hasilnya disosialisasikan dan digunakan untuk pengembangan kurikulum dan pembelajaran. </t>
  </si>
  <si>
    <t>Tracer study yang dilakukan UPPS telah mencakup 5 aspek.</t>
  </si>
  <si>
    <t>Tracer study yang dilakukan UPPS telah mencakup 4 aspek.</t>
  </si>
  <si>
    <t>Tracer study yang dilakukan UPPS telah mencakup 3 aspek.</t>
  </si>
  <si>
    <t>Tracer study yang dilakukan UPPS telah mencakup 2 aspek.</t>
  </si>
  <si>
    <t>UPPS tidak melaksanakan tracer study.</t>
  </si>
  <si>
    <t>STUDI PENELUSURAN LULUSAN
TABEL REFERENSI 8.d.1)</t>
  </si>
  <si>
    <r>
      <rPr>
        <sz val="11"/>
        <color indexed="8"/>
        <rFont val="Calibri"/>
        <charset val="134"/>
        <scheme val="minor"/>
      </rPr>
      <t>N</t>
    </r>
    <r>
      <rPr>
        <vertAlign val="subscript"/>
        <sz val="11"/>
        <color rgb="FF000000"/>
        <rFont val="Calibri"/>
        <charset val="134"/>
        <scheme val="minor"/>
      </rPr>
      <t>L4</t>
    </r>
    <r>
      <rPr>
        <sz val="11"/>
        <color indexed="8"/>
        <rFont val="Calibri"/>
        <charset val="134"/>
        <scheme val="minor"/>
      </rPr>
      <t xml:space="preserve"> = Jumlah lulusan pada TS-4</t>
    </r>
  </si>
  <si>
    <r>
      <rPr>
        <sz val="11"/>
        <color indexed="8"/>
        <rFont val="Calibri"/>
        <charset val="134"/>
        <scheme val="minor"/>
      </rPr>
      <t>N</t>
    </r>
    <r>
      <rPr>
        <vertAlign val="subscript"/>
        <sz val="11"/>
        <color rgb="FF000000"/>
        <rFont val="Calibri"/>
        <charset val="134"/>
        <scheme val="minor"/>
      </rPr>
      <t>L3</t>
    </r>
    <r>
      <rPr>
        <sz val="11"/>
        <color indexed="8"/>
        <rFont val="Calibri"/>
        <charset val="134"/>
        <scheme val="minor"/>
      </rPr>
      <t xml:space="preserve"> = Jumlah lulusan pada TS-3</t>
    </r>
  </si>
  <si>
    <r>
      <rPr>
        <sz val="11"/>
        <color indexed="8"/>
        <rFont val="Calibri"/>
        <charset val="134"/>
        <scheme val="minor"/>
      </rPr>
      <t>N</t>
    </r>
    <r>
      <rPr>
        <vertAlign val="subscript"/>
        <sz val="11"/>
        <color rgb="FF000000"/>
        <rFont val="Calibri"/>
        <charset val="134"/>
        <scheme val="minor"/>
      </rPr>
      <t>L2</t>
    </r>
    <r>
      <rPr>
        <sz val="11"/>
        <color indexed="8"/>
        <rFont val="Calibri"/>
        <charset val="134"/>
        <scheme val="minor"/>
      </rPr>
      <t xml:space="preserve"> = Jumlah lulusan pada TS-2</t>
    </r>
  </si>
  <si>
    <r>
      <rPr>
        <sz val="11"/>
        <color indexed="8"/>
        <rFont val="Calibri"/>
        <charset val="134"/>
        <scheme val="minor"/>
      </rPr>
      <t>N</t>
    </r>
    <r>
      <rPr>
        <vertAlign val="subscript"/>
        <sz val="11"/>
        <color rgb="FF000000"/>
        <rFont val="Calibri"/>
        <charset val="134"/>
        <scheme val="minor"/>
      </rPr>
      <t>J4</t>
    </r>
    <r>
      <rPr>
        <sz val="11"/>
        <color indexed="8"/>
        <rFont val="Calibri"/>
        <charset val="134"/>
        <scheme val="minor"/>
      </rPr>
      <t xml:space="preserve"> = Jumlah lulusan pada TS-4 yang terlacak</t>
    </r>
  </si>
  <si>
    <r>
      <rPr>
        <sz val="11"/>
        <color indexed="8"/>
        <rFont val="Calibri"/>
        <charset val="134"/>
        <scheme val="minor"/>
      </rPr>
      <t>N</t>
    </r>
    <r>
      <rPr>
        <vertAlign val="subscript"/>
        <sz val="11"/>
        <color rgb="FF000000"/>
        <rFont val="Calibri"/>
        <charset val="134"/>
        <scheme val="minor"/>
      </rPr>
      <t>J3</t>
    </r>
    <r>
      <rPr>
        <sz val="11"/>
        <color indexed="8"/>
        <rFont val="Calibri"/>
        <charset val="134"/>
        <scheme val="minor"/>
      </rPr>
      <t xml:space="preserve"> = Jumlah lulusan pada TS-3 yang terlacak</t>
    </r>
  </si>
  <si>
    <r>
      <rPr>
        <sz val="11"/>
        <color indexed="8"/>
        <rFont val="Calibri"/>
        <charset val="134"/>
        <scheme val="minor"/>
      </rPr>
      <t>N</t>
    </r>
    <r>
      <rPr>
        <vertAlign val="subscript"/>
        <sz val="11"/>
        <color rgb="FF000000"/>
        <rFont val="Calibri"/>
        <charset val="134"/>
        <scheme val="minor"/>
      </rPr>
      <t>J3</t>
    </r>
    <r>
      <rPr>
        <sz val="11"/>
        <color indexed="8"/>
        <rFont val="Calibri"/>
        <charset val="134"/>
        <scheme val="minor"/>
      </rPr>
      <t xml:space="preserve"> = Jumlah lulusan pada TS-2 yang terlacak</t>
    </r>
  </si>
  <si>
    <r>
      <rPr>
        <sz val="11"/>
        <color indexed="8"/>
        <rFont val="Calibri"/>
        <charset val="134"/>
        <scheme val="minor"/>
      </rPr>
      <t>Kategori jumlah lulusan dalam 3 tahun (1: N</t>
    </r>
    <r>
      <rPr>
        <vertAlign val="subscript"/>
        <sz val="11"/>
        <color rgb="FF000000"/>
        <rFont val="Calibri"/>
        <charset val="134"/>
        <scheme val="minor"/>
      </rPr>
      <t>L</t>
    </r>
    <r>
      <rPr>
        <sz val="11"/>
        <color indexed="8"/>
        <rFont val="Calibri"/>
        <charset val="134"/>
        <scheme val="minor"/>
      </rPr>
      <t xml:space="preserve"> </t>
    </r>
    <r>
      <rPr>
        <sz val="11"/>
        <color indexed="8"/>
        <rFont val="Symbol"/>
        <charset val="2"/>
      </rPr>
      <t>³</t>
    </r>
    <r>
      <rPr>
        <sz val="11"/>
        <color indexed="8"/>
        <rFont val="Calibri"/>
        <charset val="134"/>
        <scheme val="minor"/>
      </rPr>
      <t xml:space="preserve"> 300; 2: N</t>
    </r>
    <r>
      <rPr>
        <vertAlign val="subscript"/>
        <sz val="11"/>
        <color rgb="FF000000"/>
        <rFont val="Calibri"/>
        <charset val="134"/>
        <scheme val="minor"/>
      </rPr>
      <t>L</t>
    </r>
    <r>
      <rPr>
        <sz val="11"/>
        <color indexed="8"/>
        <rFont val="Calibri"/>
        <charset val="134"/>
        <scheme val="minor"/>
      </rPr>
      <t xml:space="preserve"> &lt; 300)</t>
    </r>
  </si>
  <si>
    <t>Persentase responden lulusan</t>
  </si>
  <si>
    <r>
      <rPr>
        <sz val="11"/>
        <color indexed="8"/>
        <rFont val="Calibri"/>
        <charset val="134"/>
        <scheme val="minor"/>
      </rPr>
      <t>P</t>
    </r>
    <r>
      <rPr>
        <vertAlign val="subscript"/>
        <sz val="11"/>
        <color rgb="FF000000"/>
        <rFont val="Calibri"/>
        <charset val="134"/>
        <scheme val="minor"/>
      </rPr>
      <t>rmin</t>
    </r>
    <r>
      <rPr>
        <sz val="11"/>
        <color indexed="8"/>
        <rFont val="Calibri"/>
        <charset val="134"/>
        <scheme val="minor"/>
      </rPr>
      <t xml:space="preserve"> = Persentase responden minimum</t>
    </r>
  </si>
  <si>
    <t>Waktu tunggu lulusan untuk mendapatkan pekerjaan pertama dalam 3 tahun, mulai TS-4 s.d. TS-2.
Tabel 8.d.1) LKPS</t>
  </si>
  <si>
    <t>Thn Lulus TS-4</t>
  </si>
  <si>
    <r>
      <rPr>
        <sz val="11"/>
        <color indexed="8"/>
        <rFont val="Calibri"/>
        <charset val="134"/>
        <scheme val="minor"/>
      </rPr>
      <t>Jumlah lulusan dengan W</t>
    </r>
    <r>
      <rPr>
        <sz val="11"/>
        <color rgb="FF000000"/>
        <rFont val="Calibri"/>
        <charset val="134"/>
        <scheme val="minor"/>
      </rPr>
      <t>T &lt; 3 bulan</t>
    </r>
  </si>
  <si>
    <r>
      <rPr>
        <sz val="11"/>
        <color indexed="8"/>
        <rFont val="Calibri"/>
        <charset val="134"/>
        <scheme val="minor"/>
      </rPr>
      <t>Jumlah lulusan dengan 3 bulan ≤ W</t>
    </r>
    <r>
      <rPr>
        <sz val="11"/>
        <color rgb="FF000000"/>
        <rFont val="Calibri"/>
        <charset val="134"/>
        <scheme val="minor"/>
      </rPr>
      <t>T ≤ 6 bulan</t>
    </r>
  </si>
  <si>
    <r>
      <rPr>
        <sz val="11"/>
        <color indexed="8"/>
        <rFont val="Calibri"/>
        <charset val="134"/>
        <scheme val="minor"/>
      </rPr>
      <t>Jumlah lulusan dengan W</t>
    </r>
    <r>
      <rPr>
        <sz val="11"/>
        <color rgb="FF000000"/>
        <rFont val="Calibri"/>
        <charset val="134"/>
        <scheme val="minor"/>
      </rPr>
      <t>T &gt; 6 bulan</t>
    </r>
  </si>
  <si>
    <t>Thn Lulus TS-3</t>
  </si>
  <si>
    <t>Thn Lulus TS-2</t>
  </si>
  <si>
    <t>mid1 =</t>
  </si>
  <si>
    <t>mid2 =</t>
  </si>
  <si>
    <t>mid3 =</t>
  </si>
  <si>
    <t>WT = Rata-rata masa tunggu lulusan (bulan)</t>
  </si>
  <si>
    <t>Skor Awal</t>
  </si>
  <si>
    <t>STUDI PENELUSURAN LULUSAN
TABEL REFERENSI 8.d.2)</t>
  </si>
  <si>
    <r>
      <rPr>
        <sz val="11"/>
        <color indexed="8"/>
        <rFont val="Calibri"/>
        <charset val="134"/>
        <scheme val="minor"/>
      </rPr>
      <t>N</t>
    </r>
    <r>
      <rPr>
        <vertAlign val="subscript"/>
        <sz val="11"/>
        <color rgb="FF000000"/>
        <rFont val="Calibri"/>
        <charset val="134"/>
        <scheme val="minor"/>
      </rPr>
      <t>J2</t>
    </r>
    <r>
      <rPr>
        <sz val="11"/>
        <color indexed="8"/>
        <rFont val="Calibri"/>
        <charset val="134"/>
        <scheme val="minor"/>
      </rPr>
      <t xml:space="preserve"> = Jumlah lulusan pada TS-2 yang terlacak</t>
    </r>
  </si>
  <si>
    <t>Kesesuaian bidang kerja. 
Tabel 8.d.2) LKPS</t>
  </si>
  <si>
    <t>Jumlah lulusan dengan kesesuaian bidang kerja rendah</t>
  </si>
  <si>
    <t>Jumlah lulusan dengan kesesuaian bidang kerja sedang</t>
  </si>
  <si>
    <t>Jumlah lulusan dengan kesesuaian bidang kerja tinggi</t>
  </si>
  <si>
    <t>rendah</t>
  </si>
  <si>
    <t>sedang</t>
  </si>
  <si>
    <t>tinggi</t>
  </si>
  <si>
    <t>PBS = Kesesuaian bidang kerja lulusan saat mendapatkan pekerjaan pertama.</t>
  </si>
  <si>
    <t>STUDI PENELUSURAN LULUSAN
TABEL REFERENSI 8.e.1)</t>
  </si>
  <si>
    <r>
      <rPr>
        <sz val="11"/>
        <color indexed="8"/>
        <rFont val="Calibri"/>
        <charset val="134"/>
        <scheme val="minor"/>
      </rPr>
      <t>N</t>
    </r>
    <r>
      <rPr>
        <vertAlign val="subscript"/>
        <sz val="11"/>
        <color rgb="FF000000"/>
        <rFont val="Calibri"/>
        <charset val="134"/>
        <scheme val="minor"/>
      </rPr>
      <t>J4</t>
    </r>
    <r>
      <rPr>
        <sz val="11"/>
        <color indexed="8"/>
        <rFont val="Calibri"/>
        <charset val="134"/>
        <scheme val="minor"/>
      </rPr>
      <t xml:space="preserve"> = Jumlah lulusan pada TS-4 yang terlacak (bekerja/berwirausaha)</t>
    </r>
  </si>
  <si>
    <r>
      <rPr>
        <sz val="11"/>
        <color indexed="8"/>
        <rFont val="Calibri"/>
        <charset val="134"/>
        <scheme val="minor"/>
      </rPr>
      <t>N</t>
    </r>
    <r>
      <rPr>
        <vertAlign val="subscript"/>
        <sz val="11"/>
        <color rgb="FF000000"/>
        <rFont val="Calibri"/>
        <charset val="134"/>
        <scheme val="minor"/>
      </rPr>
      <t>J3</t>
    </r>
    <r>
      <rPr>
        <sz val="11"/>
        <color indexed="8"/>
        <rFont val="Calibri"/>
        <charset val="134"/>
        <scheme val="minor"/>
      </rPr>
      <t xml:space="preserve"> = Jumlah lulusan pada TS-3 yang terlacak (bekerja/berwirausaha)</t>
    </r>
  </si>
  <si>
    <r>
      <rPr>
        <sz val="11"/>
        <color indexed="8"/>
        <rFont val="Calibri"/>
        <charset val="134"/>
        <scheme val="minor"/>
      </rPr>
      <t>N</t>
    </r>
    <r>
      <rPr>
        <vertAlign val="subscript"/>
        <sz val="11"/>
        <color rgb="FF000000"/>
        <rFont val="Calibri"/>
        <charset val="134"/>
        <scheme val="minor"/>
      </rPr>
      <t>J2</t>
    </r>
    <r>
      <rPr>
        <sz val="11"/>
        <color indexed="8"/>
        <rFont val="Calibri"/>
        <charset val="134"/>
        <scheme val="minor"/>
      </rPr>
      <t xml:space="preserve"> = Jumlah lulusan pada TS-2 yang terlacak (bekerja/berwirausaha)</t>
    </r>
  </si>
  <si>
    <t>Tingkat dan ukuran tempat kerja lulusan.
Tabel 8.e.1) LKPS</t>
  </si>
  <si>
    <t>Tahun Lulus TS-4</t>
  </si>
  <si>
    <t>NI = Jumlah lulusan yang bekerja di badan usaha tingkat multi nasional/internasional.</t>
  </si>
  <si>
    <t>NN = Jumlah lulusan yang bekerja di badan usaha tingkat nasional atau berwirausaha yang berizin.</t>
  </si>
  <si>
    <t>NW = Jumlah lulusan yang bekerja di badan usaha tingkat wilayah/lokal atau berwirausaha tidak berizin.</t>
  </si>
  <si>
    <t>Tahun Lulus TS-3</t>
  </si>
  <si>
    <t>Tahun Lulus TS-2</t>
  </si>
  <si>
    <r>
      <rPr>
        <sz val="11"/>
        <color indexed="8"/>
        <rFont val="Calibri"/>
        <charset val="134"/>
        <scheme val="minor"/>
      </rPr>
      <t>R</t>
    </r>
    <r>
      <rPr>
        <vertAlign val="subscript"/>
        <sz val="11"/>
        <color theme="1"/>
        <rFont val="Calibri"/>
        <charset val="134"/>
        <scheme val="minor"/>
      </rPr>
      <t>I</t>
    </r>
    <r>
      <rPr>
        <sz val="11"/>
        <color theme="1"/>
        <rFont val="Calibri"/>
        <charset val="134"/>
        <scheme val="minor"/>
      </rPr>
      <t xml:space="preserve"> = N</t>
    </r>
    <r>
      <rPr>
        <vertAlign val="subscript"/>
        <sz val="11"/>
        <color theme="1"/>
        <rFont val="Calibri"/>
        <charset val="134"/>
        <scheme val="minor"/>
      </rPr>
      <t>I</t>
    </r>
    <r>
      <rPr>
        <sz val="11"/>
        <color theme="1"/>
        <rFont val="Calibri"/>
        <charset val="134"/>
        <scheme val="minor"/>
      </rPr>
      <t xml:space="preserve"> / N</t>
    </r>
    <r>
      <rPr>
        <vertAlign val="subscript"/>
        <sz val="11"/>
        <color theme="1"/>
        <rFont val="Calibri"/>
        <charset val="134"/>
        <scheme val="minor"/>
      </rPr>
      <t>L</t>
    </r>
  </si>
  <si>
    <r>
      <rPr>
        <sz val="11"/>
        <color indexed="8"/>
        <rFont val="Calibri"/>
        <charset val="134"/>
        <scheme val="minor"/>
      </rPr>
      <t>R</t>
    </r>
    <r>
      <rPr>
        <vertAlign val="subscript"/>
        <sz val="11"/>
        <color theme="1"/>
        <rFont val="Calibri"/>
        <charset val="134"/>
        <scheme val="minor"/>
      </rPr>
      <t>N</t>
    </r>
    <r>
      <rPr>
        <sz val="11"/>
        <color theme="1"/>
        <rFont val="Calibri"/>
        <charset val="134"/>
        <scheme val="minor"/>
      </rPr>
      <t xml:space="preserve"> = N</t>
    </r>
    <r>
      <rPr>
        <vertAlign val="subscript"/>
        <sz val="11"/>
        <color theme="1"/>
        <rFont val="Calibri"/>
        <charset val="134"/>
        <scheme val="minor"/>
      </rPr>
      <t>N</t>
    </r>
    <r>
      <rPr>
        <sz val="11"/>
        <color theme="1"/>
        <rFont val="Calibri"/>
        <charset val="134"/>
        <scheme val="minor"/>
      </rPr>
      <t xml:space="preserve"> / N</t>
    </r>
    <r>
      <rPr>
        <vertAlign val="subscript"/>
        <sz val="11"/>
        <color theme="1"/>
        <rFont val="Calibri"/>
        <charset val="134"/>
        <scheme val="minor"/>
      </rPr>
      <t>L</t>
    </r>
  </si>
  <si>
    <r>
      <rPr>
        <sz val="11"/>
        <color indexed="8"/>
        <rFont val="Calibri"/>
        <charset val="134"/>
        <scheme val="minor"/>
      </rPr>
      <t>R</t>
    </r>
    <r>
      <rPr>
        <vertAlign val="subscript"/>
        <sz val="11"/>
        <color theme="1"/>
        <rFont val="Calibri"/>
        <charset val="134"/>
        <scheme val="minor"/>
      </rPr>
      <t>W</t>
    </r>
    <r>
      <rPr>
        <sz val="11"/>
        <color theme="1"/>
        <rFont val="Calibri"/>
        <charset val="134"/>
        <scheme val="minor"/>
      </rPr>
      <t xml:space="preserve"> = N</t>
    </r>
    <r>
      <rPr>
        <vertAlign val="subscript"/>
        <sz val="11"/>
        <color theme="1"/>
        <rFont val="Calibri"/>
        <charset val="134"/>
        <scheme val="minor"/>
      </rPr>
      <t>W</t>
    </r>
    <r>
      <rPr>
        <sz val="11"/>
        <color theme="1"/>
        <rFont val="Calibri"/>
        <charset val="134"/>
        <scheme val="minor"/>
      </rPr>
      <t xml:space="preserve"> / N</t>
    </r>
    <r>
      <rPr>
        <vertAlign val="subscript"/>
        <sz val="11"/>
        <color theme="1"/>
        <rFont val="Calibri"/>
        <charset val="134"/>
        <scheme val="minor"/>
      </rPr>
      <t>L</t>
    </r>
  </si>
  <si>
    <t>STUDI PENELUSURAN LULUSAN
TABEL REFERENSI 8.e.2)</t>
  </si>
  <si>
    <r>
      <rPr>
        <sz val="11"/>
        <color indexed="8"/>
        <rFont val="Calibri"/>
        <charset val="134"/>
        <scheme val="minor"/>
      </rPr>
      <t>N</t>
    </r>
    <r>
      <rPr>
        <vertAlign val="subscript"/>
        <sz val="11"/>
        <color rgb="FF000000"/>
        <rFont val="Calibri"/>
        <charset val="134"/>
        <scheme val="minor"/>
      </rPr>
      <t>J4</t>
    </r>
    <r>
      <rPr>
        <sz val="11"/>
        <color indexed="8"/>
        <rFont val="Calibri"/>
        <charset val="134"/>
        <scheme val="minor"/>
      </rPr>
      <t xml:space="preserve"> = Jumlah lulusan pada TS-4 yang dinilai oleh pengguna</t>
    </r>
  </si>
  <si>
    <r>
      <rPr>
        <sz val="11"/>
        <color indexed="8"/>
        <rFont val="Calibri"/>
        <charset val="134"/>
        <scheme val="minor"/>
      </rPr>
      <t>N</t>
    </r>
    <r>
      <rPr>
        <vertAlign val="subscript"/>
        <sz val="11"/>
        <color rgb="FF000000"/>
        <rFont val="Calibri"/>
        <charset val="134"/>
        <scheme val="minor"/>
      </rPr>
      <t>J3</t>
    </r>
    <r>
      <rPr>
        <sz val="11"/>
        <color indexed="8"/>
        <rFont val="Calibri"/>
        <charset val="134"/>
        <scheme val="minor"/>
      </rPr>
      <t xml:space="preserve"> = Jumlah lulusan pada TS-3 yang dinilai oleh pengguna</t>
    </r>
  </si>
  <si>
    <r>
      <rPr>
        <sz val="11"/>
        <color indexed="8"/>
        <rFont val="Calibri"/>
        <charset val="134"/>
        <scheme val="minor"/>
      </rPr>
      <t>N</t>
    </r>
    <r>
      <rPr>
        <vertAlign val="subscript"/>
        <sz val="11"/>
        <color rgb="FF000000"/>
        <rFont val="Calibri"/>
        <charset val="134"/>
        <scheme val="minor"/>
      </rPr>
      <t>J2</t>
    </r>
    <r>
      <rPr>
        <sz val="11"/>
        <color indexed="8"/>
        <rFont val="Calibri"/>
        <charset val="134"/>
        <scheme val="minor"/>
      </rPr>
      <t xml:space="preserve"> = Jumlah lulusan pada TS-2 yang dinilai oleh pengguna</t>
    </r>
  </si>
  <si>
    <t>Persentase responden pengguna lulusan</t>
  </si>
  <si>
    <t>Tingkat kepuasan pengguna lulusan.
Tabel 8.e.2) LKPS</t>
  </si>
  <si>
    <t>Etika</t>
  </si>
  <si>
    <t>TK1</t>
  </si>
  <si>
    <t>Keahlian</t>
  </si>
  <si>
    <t>TK2</t>
  </si>
  <si>
    <t>Bahasa</t>
  </si>
  <si>
    <t>TK3</t>
  </si>
  <si>
    <t>Teknologi Informasi</t>
  </si>
  <si>
    <t>TK4</t>
  </si>
  <si>
    <t>Komunikasi</t>
  </si>
  <si>
    <t>TK5</t>
  </si>
  <si>
    <t>Kerjasama</t>
  </si>
  <si>
    <t>TK6</t>
  </si>
  <si>
    <t>Pengembangan Diri</t>
  </si>
  <si>
    <t>TK7</t>
  </si>
  <si>
    <t xml:space="preserve">C.9.4.b) Luaran Dharma Penelitian dan PkM </t>
  </si>
  <si>
    <t>Publikasi ilmiah mahasiswa, yang dihasilkan secara mandiri atau bersama DTPS, dengan judul yang relevan dengan bidang program studi dalam 3 tahun terakhir.
Tabel 8.f.1) LKPS</t>
  </si>
  <si>
    <r>
      <rPr>
        <sz val="11"/>
        <rFont val="Calibri"/>
        <charset val="134"/>
        <scheme val="minor"/>
      </rPr>
      <t>N</t>
    </r>
    <r>
      <rPr>
        <vertAlign val="subscript"/>
        <sz val="11"/>
        <rFont val="Calibri"/>
        <charset val="134"/>
        <scheme val="minor"/>
      </rPr>
      <t>A1</t>
    </r>
    <r>
      <rPr>
        <sz val="11"/>
        <rFont val="Calibri"/>
        <charset val="134"/>
        <scheme val="minor"/>
      </rPr>
      <t xml:space="preserve"> = Jumlah publikasi di jurnal nasional tidak terakreditasi.</t>
    </r>
  </si>
  <si>
    <r>
      <rPr>
        <sz val="11"/>
        <rFont val="Calibri"/>
        <charset val="134"/>
        <scheme val="minor"/>
      </rPr>
      <t>N</t>
    </r>
    <r>
      <rPr>
        <vertAlign val="subscript"/>
        <sz val="11"/>
        <rFont val="Calibri"/>
        <charset val="134"/>
        <scheme val="minor"/>
      </rPr>
      <t>A2</t>
    </r>
    <r>
      <rPr>
        <sz val="11"/>
        <rFont val="Calibri"/>
        <charset val="134"/>
        <scheme val="minor"/>
      </rPr>
      <t xml:space="preserve"> = Jumlah publikasi di jurnal nasional terakreditasi.</t>
    </r>
  </si>
  <si>
    <r>
      <rPr>
        <sz val="11"/>
        <rFont val="Calibri"/>
        <charset val="134"/>
        <scheme val="minor"/>
      </rPr>
      <t>N</t>
    </r>
    <r>
      <rPr>
        <vertAlign val="subscript"/>
        <sz val="11"/>
        <rFont val="Calibri"/>
        <charset val="134"/>
        <scheme val="minor"/>
      </rPr>
      <t>A3</t>
    </r>
    <r>
      <rPr>
        <sz val="11"/>
        <rFont val="Calibri"/>
        <charset val="134"/>
        <scheme val="minor"/>
      </rPr>
      <t xml:space="preserve"> = Jumlah publikasi di jurnal internasional.</t>
    </r>
  </si>
  <si>
    <r>
      <rPr>
        <sz val="11"/>
        <rFont val="Calibri"/>
        <charset val="134"/>
        <scheme val="minor"/>
      </rPr>
      <t>N</t>
    </r>
    <r>
      <rPr>
        <vertAlign val="subscript"/>
        <sz val="11"/>
        <rFont val="Calibri"/>
        <charset val="134"/>
        <scheme val="minor"/>
      </rPr>
      <t>A4</t>
    </r>
    <r>
      <rPr>
        <sz val="11"/>
        <rFont val="Calibri"/>
        <charset val="134"/>
        <scheme val="minor"/>
      </rPr>
      <t xml:space="preserve"> = Jumlah publikasi di jurnal internasional bereputasi.</t>
    </r>
  </si>
  <si>
    <r>
      <rPr>
        <sz val="11"/>
        <rFont val="Calibri"/>
        <charset val="134"/>
        <scheme val="minor"/>
      </rPr>
      <t>N</t>
    </r>
    <r>
      <rPr>
        <vertAlign val="subscript"/>
        <sz val="11"/>
        <rFont val="Calibri"/>
        <charset val="134"/>
        <scheme val="minor"/>
      </rPr>
      <t>B1</t>
    </r>
    <r>
      <rPr>
        <sz val="11"/>
        <rFont val="Calibri"/>
        <charset val="134"/>
        <scheme val="minor"/>
      </rPr>
      <t xml:space="preserve"> = Jumlah publikasi di seminar wilayah/lokal/PT.</t>
    </r>
  </si>
  <si>
    <r>
      <rPr>
        <sz val="11"/>
        <rFont val="Calibri"/>
        <charset val="134"/>
        <scheme val="minor"/>
      </rPr>
      <t>N</t>
    </r>
    <r>
      <rPr>
        <vertAlign val="subscript"/>
        <sz val="11"/>
        <rFont val="Calibri"/>
        <charset val="134"/>
        <scheme val="minor"/>
      </rPr>
      <t>B2</t>
    </r>
    <r>
      <rPr>
        <sz val="11"/>
        <rFont val="Calibri"/>
        <charset val="134"/>
        <scheme val="minor"/>
      </rPr>
      <t xml:space="preserve"> = Jumlah publikasi di seminar nasional.</t>
    </r>
  </si>
  <si>
    <r>
      <rPr>
        <sz val="11"/>
        <rFont val="Calibri"/>
        <charset val="134"/>
        <scheme val="minor"/>
      </rPr>
      <t>N</t>
    </r>
    <r>
      <rPr>
        <vertAlign val="subscript"/>
        <sz val="11"/>
        <rFont val="Calibri"/>
        <charset val="134"/>
        <scheme val="minor"/>
      </rPr>
      <t>B3</t>
    </r>
    <r>
      <rPr>
        <sz val="11"/>
        <rFont val="Calibri"/>
        <charset val="134"/>
        <scheme val="minor"/>
      </rPr>
      <t xml:space="preserve"> = Jumlah publikasi di seminar internasional.</t>
    </r>
  </si>
  <si>
    <r>
      <rPr>
        <sz val="11"/>
        <rFont val="Calibri"/>
        <charset val="134"/>
        <scheme val="minor"/>
      </rPr>
      <t>N</t>
    </r>
    <r>
      <rPr>
        <vertAlign val="subscript"/>
        <sz val="11"/>
        <rFont val="Calibri"/>
        <charset val="134"/>
        <scheme val="minor"/>
      </rPr>
      <t>C1</t>
    </r>
    <r>
      <rPr>
        <sz val="11"/>
        <rFont val="Calibri"/>
        <charset val="134"/>
        <scheme val="minor"/>
      </rPr>
      <t xml:space="preserve"> = Jumlah tulisan di media massa wilayah.</t>
    </r>
  </si>
  <si>
    <r>
      <rPr>
        <sz val="11"/>
        <rFont val="Calibri"/>
        <charset val="134"/>
        <scheme val="minor"/>
      </rPr>
      <t>N</t>
    </r>
    <r>
      <rPr>
        <vertAlign val="subscript"/>
        <sz val="11"/>
        <rFont val="Calibri"/>
        <charset val="134"/>
        <scheme val="minor"/>
      </rPr>
      <t>C2</t>
    </r>
    <r>
      <rPr>
        <sz val="11"/>
        <rFont val="Calibri"/>
        <charset val="134"/>
        <scheme val="minor"/>
      </rPr>
      <t xml:space="preserve"> = Jumlah tulisan di media massa nasional.</t>
    </r>
  </si>
  <si>
    <r>
      <rPr>
        <sz val="11"/>
        <rFont val="Calibri"/>
        <charset val="134"/>
        <scheme val="minor"/>
      </rPr>
      <t>N</t>
    </r>
    <r>
      <rPr>
        <vertAlign val="subscript"/>
        <sz val="11"/>
        <rFont val="Calibri"/>
        <charset val="134"/>
        <scheme val="minor"/>
      </rPr>
      <t>C3</t>
    </r>
    <r>
      <rPr>
        <sz val="11"/>
        <rFont val="Calibri"/>
        <charset val="134"/>
        <scheme val="minor"/>
      </rPr>
      <t xml:space="preserve"> = Jumlah tulisan di media massa internasional.</t>
    </r>
  </si>
  <si>
    <r>
      <rPr>
        <sz val="11"/>
        <rFont val="Calibri"/>
        <charset val="134"/>
        <scheme val="minor"/>
      </rPr>
      <t>N</t>
    </r>
    <r>
      <rPr>
        <vertAlign val="subscript"/>
        <sz val="11"/>
        <rFont val="Calibri"/>
        <charset val="134"/>
        <scheme val="minor"/>
      </rPr>
      <t>M</t>
    </r>
    <r>
      <rPr>
        <sz val="11"/>
        <rFont val="Calibri"/>
        <charset val="134"/>
        <scheme val="minor"/>
      </rPr>
      <t xml:space="preserve"> = Jumlah mahasiswa pada saat TS. </t>
    </r>
  </si>
  <si>
    <r>
      <rPr>
        <sz val="11"/>
        <rFont val="Calibri"/>
        <charset val="134"/>
        <scheme val="minor"/>
      </rPr>
      <t>R</t>
    </r>
    <r>
      <rPr>
        <vertAlign val="subscript"/>
        <sz val="11"/>
        <rFont val="Calibri"/>
        <charset val="134"/>
        <scheme val="minor"/>
      </rPr>
      <t>I</t>
    </r>
    <r>
      <rPr>
        <sz val="11"/>
        <rFont val="Calibri"/>
        <charset val="134"/>
        <scheme val="minor"/>
      </rPr>
      <t xml:space="preserve"> = (N</t>
    </r>
    <r>
      <rPr>
        <vertAlign val="subscript"/>
        <sz val="11"/>
        <rFont val="Calibri"/>
        <charset val="134"/>
        <scheme val="minor"/>
      </rPr>
      <t>A4</t>
    </r>
    <r>
      <rPr>
        <sz val="11"/>
        <rFont val="Calibri"/>
        <charset val="134"/>
        <scheme val="minor"/>
      </rPr>
      <t xml:space="preserve"> + N</t>
    </r>
    <r>
      <rPr>
        <vertAlign val="subscript"/>
        <sz val="11"/>
        <rFont val="Calibri"/>
        <charset val="134"/>
        <scheme val="minor"/>
      </rPr>
      <t>B3</t>
    </r>
    <r>
      <rPr>
        <sz val="11"/>
        <rFont val="Calibri"/>
        <charset val="134"/>
        <scheme val="minor"/>
      </rPr>
      <t xml:space="preserve"> + N</t>
    </r>
    <r>
      <rPr>
        <vertAlign val="subscript"/>
        <sz val="11"/>
        <rFont val="Calibri"/>
        <charset val="134"/>
        <scheme val="minor"/>
      </rPr>
      <t>C3</t>
    </r>
    <r>
      <rPr>
        <sz val="11"/>
        <rFont val="Calibri"/>
        <charset val="134"/>
        <scheme val="minor"/>
      </rPr>
      <t>) / N</t>
    </r>
    <r>
      <rPr>
        <vertAlign val="subscript"/>
        <sz val="11"/>
        <rFont val="Calibri"/>
        <charset val="134"/>
        <scheme val="minor"/>
      </rPr>
      <t>DTPS</t>
    </r>
  </si>
  <si>
    <r>
      <rPr>
        <sz val="11"/>
        <rFont val="Calibri"/>
        <charset val="134"/>
        <scheme val="minor"/>
      </rPr>
      <t>R</t>
    </r>
    <r>
      <rPr>
        <vertAlign val="subscript"/>
        <sz val="11"/>
        <rFont val="Calibri"/>
        <charset val="134"/>
        <scheme val="minor"/>
      </rPr>
      <t>N</t>
    </r>
    <r>
      <rPr>
        <sz val="11"/>
        <rFont val="Calibri"/>
        <charset val="134"/>
        <scheme val="minor"/>
      </rPr>
      <t xml:space="preserve"> = (N</t>
    </r>
    <r>
      <rPr>
        <vertAlign val="subscript"/>
        <sz val="11"/>
        <rFont val="Calibri"/>
        <charset val="134"/>
        <scheme val="minor"/>
      </rPr>
      <t>A2</t>
    </r>
    <r>
      <rPr>
        <sz val="11"/>
        <rFont val="Calibri"/>
        <charset val="134"/>
        <scheme val="minor"/>
      </rPr>
      <t xml:space="preserve"> + N</t>
    </r>
    <r>
      <rPr>
        <vertAlign val="subscript"/>
        <sz val="11"/>
        <rFont val="Calibri"/>
        <charset val="134"/>
        <scheme val="minor"/>
      </rPr>
      <t>A3</t>
    </r>
    <r>
      <rPr>
        <sz val="11"/>
        <rFont val="Calibri"/>
        <charset val="134"/>
        <scheme val="minor"/>
      </rPr>
      <t xml:space="preserve"> + N</t>
    </r>
    <r>
      <rPr>
        <vertAlign val="subscript"/>
        <sz val="11"/>
        <rFont val="Calibri"/>
        <charset val="134"/>
        <scheme val="minor"/>
      </rPr>
      <t>B2</t>
    </r>
    <r>
      <rPr>
        <sz val="11"/>
        <rFont val="Calibri"/>
        <charset val="134"/>
        <scheme val="minor"/>
      </rPr>
      <t xml:space="preserve"> + N</t>
    </r>
    <r>
      <rPr>
        <vertAlign val="subscript"/>
        <sz val="11"/>
        <rFont val="Calibri"/>
        <charset val="134"/>
        <scheme val="minor"/>
      </rPr>
      <t>C2</t>
    </r>
    <r>
      <rPr>
        <sz val="11"/>
        <rFont val="Calibri"/>
        <charset val="134"/>
        <scheme val="minor"/>
      </rPr>
      <t>) / N</t>
    </r>
    <r>
      <rPr>
        <vertAlign val="subscript"/>
        <sz val="11"/>
        <rFont val="Calibri"/>
        <charset val="134"/>
        <scheme val="minor"/>
      </rPr>
      <t>DTPS</t>
    </r>
  </si>
  <si>
    <r>
      <rPr>
        <sz val="11"/>
        <rFont val="Calibri"/>
        <charset val="134"/>
        <scheme val="minor"/>
      </rPr>
      <t>R</t>
    </r>
    <r>
      <rPr>
        <vertAlign val="subscript"/>
        <sz val="11"/>
        <rFont val="Calibri"/>
        <charset val="134"/>
        <scheme val="minor"/>
      </rPr>
      <t>W</t>
    </r>
    <r>
      <rPr>
        <sz val="11"/>
        <rFont val="Calibri"/>
        <charset val="134"/>
        <scheme val="minor"/>
      </rPr>
      <t xml:space="preserve"> = (N</t>
    </r>
    <r>
      <rPr>
        <vertAlign val="subscript"/>
        <sz val="11"/>
        <rFont val="Calibri"/>
        <charset val="134"/>
        <scheme val="minor"/>
      </rPr>
      <t>A1</t>
    </r>
    <r>
      <rPr>
        <sz val="11"/>
        <rFont val="Calibri"/>
        <charset val="134"/>
        <scheme val="minor"/>
      </rPr>
      <t xml:space="preserve"> + N</t>
    </r>
    <r>
      <rPr>
        <vertAlign val="subscript"/>
        <sz val="11"/>
        <rFont val="Calibri"/>
        <charset val="134"/>
        <scheme val="minor"/>
      </rPr>
      <t>B1</t>
    </r>
    <r>
      <rPr>
        <sz val="11"/>
        <rFont val="Calibri"/>
        <charset val="134"/>
        <scheme val="minor"/>
      </rPr>
      <t xml:space="preserve"> + N</t>
    </r>
    <r>
      <rPr>
        <vertAlign val="subscript"/>
        <sz val="11"/>
        <rFont val="Calibri"/>
        <charset val="134"/>
        <scheme val="minor"/>
      </rPr>
      <t>C1</t>
    </r>
    <r>
      <rPr>
        <sz val="11"/>
        <rFont val="Calibri"/>
        <charset val="134"/>
        <scheme val="minor"/>
      </rPr>
      <t>) / N</t>
    </r>
    <r>
      <rPr>
        <vertAlign val="subscript"/>
        <sz val="11"/>
        <rFont val="Calibri"/>
        <charset val="134"/>
        <scheme val="minor"/>
      </rPr>
      <t>DTPS</t>
    </r>
  </si>
  <si>
    <t>Luaran penelitian dan PkM yang dihasilkan mahasiswa, baik secara mandiri atau bersama DTPS dalam 3 tahun terakhir.
Tabel 8.f.4) LKPS</t>
  </si>
  <si>
    <r>
      <rPr>
        <sz val="11"/>
        <rFont val="Calibri"/>
        <charset val="134"/>
        <scheme val="minor"/>
      </rPr>
      <t>N</t>
    </r>
    <r>
      <rPr>
        <vertAlign val="subscript"/>
        <sz val="11"/>
        <rFont val="Calibri"/>
        <charset val="134"/>
        <scheme val="minor"/>
      </rPr>
      <t>A</t>
    </r>
    <r>
      <rPr>
        <sz val="11"/>
        <rFont val="Calibri"/>
        <charset val="134"/>
        <scheme val="minor"/>
      </rPr>
      <t xml:space="preserve"> = Jumlah luaran penelitian/PkM yang mendapat pengakuan HKI (Paten, Paten Sederhana)</t>
    </r>
  </si>
  <si>
    <r>
      <rPr>
        <sz val="11"/>
        <rFont val="Calibri"/>
        <charset val="134"/>
        <scheme val="minor"/>
      </rPr>
      <t>N</t>
    </r>
    <r>
      <rPr>
        <vertAlign val="subscript"/>
        <sz val="11"/>
        <rFont val="Calibri"/>
        <charset val="134"/>
        <scheme val="minor"/>
      </rPr>
      <t>B</t>
    </r>
    <r>
      <rPr>
        <sz val="11"/>
        <rFont val="Calibri"/>
        <charset val="134"/>
        <scheme val="minor"/>
      </rPr>
      <t xml:space="preserve"> = Jumlah luaran penelitian/PkM yang mendapat pengakuan HKI (Hak Cipta, Desain Produk Industri, Perlindungan Varietas Tanaman, Desain Tata Letak Sirkuit Terpadu, dll.)</t>
    </r>
  </si>
  <si>
    <r>
      <rPr>
        <sz val="11"/>
        <rFont val="Calibri"/>
        <charset val="134"/>
        <scheme val="minor"/>
      </rPr>
      <t>N</t>
    </r>
    <r>
      <rPr>
        <vertAlign val="subscript"/>
        <sz val="11"/>
        <rFont val="Calibri"/>
        <charset val="134"/>
        <scheme val="minor"/>
      </rPr>
      <t>C</t>
    </r>
    <r>
      <rPr>
        <sz val="11"/>
        <rFont val="Calibri"/>
        <charset val="134"/>
        <scheme val="minor"/>
      </rPr>
      <t xml:space="preserve"> = Jumlah luaran penelitian/PkM dalam bentuk Teknologi Tepat Guna, Produk (Produk Terstandarisasi, Produk Tersertifikasi), Karya Seni, Rekayasa Sosial.</t>
    </r>
  </si>
  <si>
    <r>
      <rPr>
        <sz val="11"/>
        <rFont val="Calibri"/>
        <charset val="134"/>
        <scheme val="minor"/>
      </rPr>
      <t>N</t>
    </r>
    <r>
      <rPr>
        <vertAlign val="subscript"/>
        <sz val="11"/>
        <rFont val="Calibri"/>
        <charset val="134"/>
        <scheme val="minor"/>
      </rPr>
      <t>D</t>
    </r>
    <r>
      <rPr>
        <sz val="11"/>
        <rFont val="Calibri"/>
        <charset val="134"/>
        <scheme val="minor"/>
      </rPr>
      <t xml:space="preserve"> = Jumlah luaran penelitian/PkM yang diterbitkan dalam bentuk Buku ber-ISBN, </t>
    </r>
    <r>
      <rPr>
        <i/>
        <sz val="11"/>
        <rFont val="Calibri"/>
        <charset val="134"/>
        <scheme val="minor"/>
      </rPr>
      <t>Book Chapter</t>
    </r>
    <r>
      <rPr>
        <sz val="11"/>
        <rFont val="Calibri"/>
        <charset val="134"/>
        <scheme val="minor"/>
      </rPr>
      <t>.</t>
    </r>
  </si>
  <si>
    <r>
      <rPr>
        <sz val="11"/>
        <rFont val="Calibri"/>
        <charset val="134"/>
        <scheme val="minor"/>
      </rPr>
      <t>N</t>
    </r>
    <r>
      <rPr>
        <vertAlign val="subscript"/>
        <sz val="11"/>
        <rFont val="Calibri"/>
        <charset val="134"/>
        <scheme val="minor"/>
      </rPr>
      <t>LP</t>
    </r>
    <r>
      <rPr>
        <sz val="11"/>
        <rFont val="Calibri"/>
        <charset val="134"/>
        <scheme val="minor"/>
      </rPr>
      <t xml:space="preserve"> = (2 x (N</t>
    </r>
    <r>
      <rPr>
        <vertAlign val="subscript"/>
        <sz val="11"/>
        <rFont val="Calibri"/>
        <charset val="134"/>
        <scheme val="minor"/>
      </rPr>
      <t>A</t>
    </r>
    <r>
      <rPr>
        <sz val="11"/>
        <rFont val="Calibri"/>
        <charset val="134"/>
        <scheme val="minor"/>
      </rPr>
      <t xml:space="preserve"> + N</t>
    </r>
    <r>
      <rPr>
        <vertAlign val="subscript"/>
        <sz val="11"/>
        <rFont val="Calibri"/>
        <charset val="134"/>
        <scheme val="minor"/>
      </rPr>
      <t>B</t>
    </r>
    <r>
      <rPr>
        <sz val="11"/>
        <rFont val="Calibri"/>
        <charset val="134"/>
        <scheme val="minor"/>
      </rPr>
      <t xml:space="preserve"> + N</t>
    </r>
    <r>
      <rPr>
        <vertAlign val="subscript"/>
        <sz val="11"/>
        <rFont val="Calibri"/>
        <charset val="134"/>
        <scheme val="minor"/>
      </rPr>
      <t>C</t>
    </r>
    <r>
      <rPr>
        <sz val="11"/>
        <rFont val="Calibri"/>
        <charset val="134"/>
        <scheme val="minor"/>
      </rPr>
      <t>) + N</t>
    </r>
    <r>
      <rPr>
        <vertAlign val="subscript"/>
        <sz val="11"/>
        <rFont val="Calibri"/>
        <charset val="134"/>
        <scheme val="minor"/>
      </rPr>
      <t>D</t>
    </r>
    <r>
      <rPr>
        <sz val="11"/>
        <rFont val="Calibri"/>
        <charset val="134"/>
        <scheme val="minor"/>
      </rPr>
      <t>)</t>
    </r>
  </si>
  <si>
    <t>D  Analisis dan Penetapan Program Pengembangan
D.1 
Analisis dan Capaian Kinerja</t>
  </si>
  <si>
    <t>Keserbacakupan (kelengkapan, keluasan, dan kedalaman), ketepatan, ketajaman, dan kesesuaian analisis capaian kinerja serta konsistensi dengan setiap kriteria.</t>
  </si>
  <si>
    <t>UPPS telah melakukan analisis capaian kinerja yang: 
1) analisisnya didukung oleh data/informasi yang relevan (merujuk pada pencapaian standar mutu perguruan tinggi) dan berkualitas (andal dan memadai) yang didukung oleh keberadaan pangkalan data institusi yang terintegrasi.
2) konsisten dengan seluruh kriteria yang diuraikan sebelumnya, 
3) analisisnya dilakukan secara komprehensif, tepat, dan tajam untuk mengidentifikasi akar masalah di  UPPS.
4) hasilnya dipublikasikan kepada para pemangku kepentingan internal dan eksternal serta mudah diakses.</t>
  </si>
  <si>
    <t>UPPS telah melakukan analisis capaian kinerja yang: 
1) analisisnya didukung oleh data/informasi yang relevan (merujuk pada pencapaian standar mutu perguruan tinggi) dan berkualitas (andal dan memadai) yang didukung oleh keberadaan pangkalan data institusi yang belum terintegrasi.
2) konsisten dengan sebagian besar (7 s.d. 8) kriteria yang diuraikan sebelumnya, 
3) analisisnya dilakukan secara komprehensif dan tepat untuk mengidentifikasi akar masalah di UPPS.
4) hasilnya dipublikasikan kepada para pemangku kepentingan internal serta mudah diakses.</t>
  </si>
  <si>
    <t>UPPS telah melakukan analisis capaian kinerja yang: 
1) analisisnya didukung oleh data/informasi yang relevan (merujuk pada pencapaian standar mutu perguruan tinggi) dan berkualitas (andal dan memadai).
2) konsisten dengan sebagian (5 s.d. 6) kriteria yang diuraikan sebelumnya, 
3) analisisnya dilakukan secara komprehensif untuk mengidentifikasi akar masalah di UPPS.
4) hasilnya dipublikasikan kepada para pemangku kepentingan internal.</t>
  </si>
  <si>
    <t>UPPS telah melakukan analisis capaian kinerja yang: 
1) analisisnya tidak sepenuhnya didukung oleh data/informasi yang relevan (merujuk pada pencapaian standar mutu perguruan tinggi) dan berkualitas (andal dan memadai).
2) konsisten dengan sebagian kecil (kurang dari 5) kriteria yang diuraikan sebelumnya, 
3) analisisnya dilakukan tidak secara komprehensif untuk mengidentifikasi akar masalah di UPPS.
4) hasilnya tidak dipublikasikan.</t>
  </si>
  <si>
    <t>UPPS tidak melakukan analisis capaian kinerja.</t>
  </si>
  <si>
    <t>D.2 
Analisis SWOT atau Analisis Lain yang Relevan</t>
  </si>
  <si>
    <t>Ketepatan analisis SWOT atau analisis yang relevan di dalam mengembangkan strategi.</t>
  </si>
  <si>
    <t>UPPS melakukan analisis SWOT atau analisis lain yang relevan, serta memenuhi aspek-aspek sebagai berikut:
1) melakukan identifikasi kekuatan atau faktor pendorong, kelemahan atau faktor penghambat, peluang dan ancaman yang dihadapi UPPS dilakukan secara tepat,
2) memiliki keterkaitan dengan hasil analisis capaian kinerja,
3) merumuskan strategi pengembangan UPPS yang berkesesuaian, dan
4) menghasilkan program-program pengembangan alternatif yang tepat.</t>
  </si>
  <si>
    <t>UPPS melakukan analisis SWOT atau analisis lain yang relevan, serta memenuhi aspek-aspek sebagai berikut:
1) melakukan identifikasi kekuatan atau faktor pendorong, kelemahan atau faktor penghambat, peluang dan ancaman yang dihadapi UPPS dilakukan secara tepat,
2) memiliki keterkaitan dengan hasil analisis capaian kinerja, dan
3) merumuskan strategi pengembangan UPPS yang berkesesuaian.</t>
  </si>
  <si>
    <t>UPPS melakukan analisis SWOT atau analisis lain yang relevan, serta memenuhi aspek-aspek sebagai berikut:
1) melakukan identifikasi kekuatan atau faktor pendorong, kelemahan atau faktor penghambat, peluang dan ancaman yang dihadapi UPPS dilakukan secara tepat, dan 
2) memiliki keterkaitan dengan hasil analisis capaian kinerja.</t>
  </si>
  <si>
    <t>UPPS melakukan analisis SWOT atau analisis lain yang memenuhi aspek-aspek sebagai berikut:
1) melakukan identifikasi kekuatan atau faktor pendorong, kelemahan atau faktor penghambat, peluang dan ancaman yang dihadapi UPPS, dan
2) memiliki keterkaitan dengan hasil analisis capaian kinerja, namun tidak terstruktur dan tidak sistematis.</t>
  </si>
  <si>
    <t>UPPS tidak melakukan analisis untuk mengembangkan strategi.</t>
  </si>
  <si>
    <t>D.3
Program Pengembangan</t>
  </si>
  <si>
    <t>Ketepatan di dalam menetapkan prioritas program pengembangan.</t>
  </si>
  <si>
    <t>UPPS menetapkan prioritas program pengembangan berdasarkan hasil analisis SWOT atau analisis lainnya yang mempertimbangkan secara komprehensif:
1) kapasitas UPPS,
2) kebutuhan UPPS dan PS di masa depan,
3) rencana strategis UPPS yang berlaku,
4) aspirasi dari pemangku kepentingan internal dan eksternal, dan
5) program yang menjamin keberlanjutan.</t>
  </si>
  <si>
    <t>UPPS menetapkan prioritas program pengembangan berdasarkan hasil analisis SWOT atau analisis lainnya yang mempertimbangkan secara komprehensif:
1) kapasitas UPPS,
2) kebutuhan UPPS dan PS di masa depan,
3) rencana strategis UPPS yang berlaku, dan
4) aspirasi dari pemangku kepentingan internal.</t>
  </si>
  <si>
    <t>UPPS menetapkan prioritas program pengembangan berdasarkan hasil analisis SWOT atau analisis lainnya yang mempertimbangkan secara komprehensif:
1) kapasitas UPPS,
2) kebutuhan UPPS dan PS di masa depan, dan
3) rencana strategis UPPS yang berlaku.</t>
  </si>
  <si>
    <t>UPPS menetapkan prioritas program pengembangan namun belum mempertimbangan secara komprehensif:
1) kapasitas UPPS,
2) kebutuhan UPPS dan PS, dan
3) rencana strategis UPPS yang berlaku.</t>
  </si>
  <si>
    <t>UPPS tidak menetapkan prioritas program pengembangan.</t>
  </si>
  <si>
    <t xml:space="preserve">D.4 
Program Keberlanjutan </t>
  </si>
  <si>
    <t>UPPS memiliki kebijakan, ketersediaan sumberdaya, kemampuan melaksanakan, dan kerealistikan program.</t>
  </si>
  <si>
    <t>UPPS memiliki kebijakan dan upaya yang diturunkan ke dalam berbagai peraturan untuk menjamin keberlanjutan program yang mencakup:
1) alokasi sumber daya, 
2) kemampuan melaksanakan,
3) rencana penjaminan mutu yang berkelanjutan, dan 
4) keberadaan dukungan stakeholders eksternal.</t>
  </si>
  <si>
    <t>UPPS memiliki kebijakan dan upaya yang diturunkan ke dalam berbagai peraturan untuk menjamin keberlanjutan program yang mencakup:
1) alokasi sumber daya, 
2) kemampuan melaksanakan, dan
3) rencana penjaminan mutu yang berkelanjutan.</t>
  </si>
  <si>
    <t>UPPS memiliki kebijakan dan upaya untuk menjamin keberlanjutan program yang mencakup:
1) alokasi sumber daya, 
2) kemampuan melaksanakan, dan
3) rencana penjaminan mutu yang berkelanjutan.</t>
  </si>
  <si>
    <t>UPPS memiliki kebijakan dan upaya namun belum cukup untuk menjamin keberlanjutan program.</t>
  </si>
  <si>
    <t>UPPS tidak memiliki kebijakan dan upaya untuk menjamin keberlanjutan program.</t>
  </si>
  <si>
    <t>LAPORAN ASESMEN KECUKUPAN</t>
  </si>
  <si>
    <t>PENILAIAN ASESMEN KECUKUPAN</t>
  </si>
  <si>
    <t>Penilaian Individual</t>
  </si>
  <si>
    <t>Nilai Asesmen Kecukupan</t>
  </si>
  <si>
    <t>Nama Asesor:</t>
  </si>
  <si>
    <t>Syarat Perlu Terakreditasi</t>
  </si>
  <si>
    <t>Kode Panel:</t>
  </si>
  <si>
    <t>Syarat Perlu Peringkat Unggul</t>
  </si>
  <si>
    <t>Tanggal Penilaian:</t>
  </si>
  <si>
    <t>Syarat Perlu Peringkat Baik Sekali</t>
  </si>
  <si>
    <t>NO.</t>
  </si>
  <si>
    <t>KRITERIA/ELEMEN/INDIKATOR</t>
  </si>
  <si>
    <t>BOBOT</t>
  </si>
  <si>
    <t>SKOR x BOBOT</t>
  </si>
  <si>
    <t>SYARAT PERLU TERAKREDITASI</t>
  </si>
  <si>
    <t>SYARAT PERLU PERINGKAT 
UNGGUL</t>
  </si>
  <si>
    <t>SYARAT PERLU PERINGKAT 
BAIK SEKALI</t>
  </si>
  <si>
    <r>
      <rPr>
        <b/>
        <sz val="9"/>
        <rFont val="Calibri"/>
        <charset val="134"/>
        <scheme val="minor"/>
      </rPr>
      <t xml:space="preserve">A. Kondisi Eksternal
</t>
    </r>
    <r>
      <rPr>
        <sz val="9"/>
        <rFont val="Calibri"/>
        <charset val="134"/>
        <scheme val="minor"/>
      </rPr>
      <t>Konsistensi dengan hasil analisis SWOT dan/atau analisis lain serta rencana pengembangan ke depan.</t>
    </r>
  </si>
  <si>
    <r>
      <rPr>
        <b/>
        <sz val="9"/>
        <rFont val="Calibri"/>
        <charset val="134"/>
        <scheme val="minor"/>
      </rPr>
      <t xml:space="preserve">B. Profil Unit Pengelola Program Studi
</t>
    </r>
    <r>
      <rPr>
        <sz val="9"/>
        <rFont val="Calibri"/>
        <charset val="134"/>
        <scheme val="minor"/>
      </rPr>
      <t>Keserbacakupan informasi dalam profil dan konsistensi antara profil dengan data dan informasi yang disampaikan pada masing-masing kriteria, serta menunjukkan iklim yang kondusif untuk pengembangan dan reputasi sebagai rujukan di bidang keilmuannya.</t>
    </r>
  </si>
  <si>
    <r>
      <rPr>
        <b/>
        <sz val="9"/>
        <rFont val="Calibri"/>
        <charset val="134"/>
        <scheme val="minor"/>
      </rPr>
      <t>C. Kriteria
C.1. Visi, Misi, Tujuan dan Strategi</t>
    </r>
    <r>
      <rPr>
        <sz val="9"/>
        <rFont val="Calibri"/>
        <charset val="134"/>
        <scheme val="minor"/>
      </rPr>
      <t xml:space="preserve">
C.1.4. Indikator Kinerja Utama
Kesesuaian Visi, Misi, Tujuan dan Strategi (VMTS) Unit Pengelola Program Studi (UPPS) terhadap VMTS Perguruan Tinggi (PT) dan visi keilmuan Program Studi (PS) yang dikelolanya.</t>
    </r>
  </si>
  <si>
    <r>
      <rPr>
        <b/>
        <sz val="9"/>
        <rFont val="Calibri"/>
        <charset val="134"/>
        <scheme val="minor"/>
      </rPr>
      <t>C.2. Tata Pamong, Tata Kelola dan Kerjasama</t>
    </r>
    <r>
      <rPr>
        <sz val="9"/>
        <rFont val="Calibri"/>
        <charset val="134"/>
        <scheme val="minor"/>
      </rPr>
      <t xml:space="preserve">
C.2.4. Indikator Kinerja Utama
C.2.4.a) Sistem Tata Pamong
A. Kelengkapan struktur organisasi dan keefektifan penyelenggaraan organisasi.
B. Perwujudan good governance dan pemenuhan lima pilar sistem tata pamong, yang mencakup: 1) Kredibel, 2) Transparan, 3) Akuntabel, 4) Bertanggung jawab, 5) Adil.</t>
    </r>
  </si>
  <si>
    <t xml:space="preserve">C.2.4.b) Kepemimpinan dan Kemampuan Manajerial
A. Komitmen pimpinan UPPS.
B. Kapabilitas pimpinan UPPS, mencakup aspek: 1) perencanaan, 2) pengorganisasian, 3) penempatan personel, 4) pelaksanaan, 5) pengendalian dan pengawasan, dan 6) pelaporan yang menjadi dasar tindak lanjut. </t>
  </si>
  <si>
    <t>C.2.4.c) Kerjasama
Mutu, manfaat, kepuasan dan keberlanjutan kerjasama pendidikan, penelitian dan PkM yang relevan dengan program studi. UPPS memiliki bukti yang sahih terkait kerjasama yang ada telah memenuhi 3 aspek berikut: 1) memberikan manfaat bagi program studi dalam pemenuhan proses pembelajaran, penelitian, PkM. 2) memberikan peningkatan kinerja tridharma dan fasilitas pendukung program studi. 3) memberikan kepuasan kepada mitra industri dan mitra kerjasama lainnya, serta menjamin keberlanjutan kerjasama dan hasilnya.</t>
  </si>
  <si>
    <t xml:space="preserve">A. Kerjasama pendidikan, penelitian, dan PkM yang relevan dengan program studi dan dikelola oleh UPPS dalam 3 tahun terakhir.
B. Kerjasama tingkat internasional, nasional, wilayah/lokal yang relevan dengan program studi dan dikelola oleh UPPS dalam 3 tahun terakhir.
Tabel 1 LKPS </t>
  </si>
  <si>
    <t>C.2.5 Indikator Kinerja Tambahan
Pelampauan SN-DIKTI (indikator kinerja tambahan) yang ditetapkan oleh UPPS pada tiap kriteria.</t>
  </si>
  <si>
    <t>C.2.6 Evaluasi Capaian Kinerja
Analisis keberhasilan dan/atau ketidakberhasilan pencapaian kinerja UPPS yang telah ditetapkan di tiap kriteria memenuhi 2 aspek sebagai berikut: 1) capaian kinerja diukur dengan metoda yang tepat, dan hasilnya dianalisis serta dievaluasi, dan 2) analisis terhadap capaian kinerja mencakup identifikasi akar masalah, faktor pendukung keberhasilan dan faktor penghambat ketercapaian standard, dan deskripsi singkat tindak lanjut yang akan dilakukan.</t>
  </si>
  <si>
    <t>C.2.7. Penjaminan Mutu
Keterlaksanaan Sistem Penjaminan Mutu Internal (akademik dan nonakademik) yang dibuktikan dengan keberadaan 5 aspek: 1) dokumen legal pembentukan unsur pelaksana penjaminan mutu, 2) ketersediaan dokumen mutu: kebijakan SPMI, manual SPMI, standar SPMI, dan formulir SPMI, 3) terlaksananya siklus penjaminan mutu (siklus PPEPP), 4) bukti sahih efektivitas pelaksanaan penjaminan mutu, dan 5) memiliki external benchmarking dalam peningkatan mutu.</t>
  </si>
  <si>
    <t>Skor min. = 2,0</t>
  </si>
  <si>
    <t>C.2.8. Kepuasan Pemangku Kepentingan
Pengukuran kepuasan layanan manajemen terhadap para pemangku kepentingan: mahasiswa, dosen, tenaga kependidikan, lulusan, pengguna dan mitra yang memenuhi aspek-aspek berikut: 1) menggunakan instrumen kepuasan yang sahih, andal, mudah digunakan, 2) dilaksanakan secara berkala, serta datanya terekam secara komprehensif, 
3) dianalisis dengan metode yang tepat serta bermanfaat untuk pengambilan keputusan, 4) tingkat kepuasan dan umpan balik ditindaklanjuti untuk perbaikan dan peningkatan mutu luaran secara berkala dan tersistem, 5) dilakukan review terhadap pelaksanaan pengukuran kepuasan dosen dan mahasiswa, serta 6) hasilnya dipublikasikan dan mudah diakses oleh dosen dan mahasiswa.</t>
  </si>
  <si>
    <r>
      <rPr>
        <b/>
        <sz val="9"/>
        <rFont val="Calibri"/>
        <charset val="134"/>
        <scheme val="minor"/>
      </rPr>
      <t>C.3. Mahasiswa</t>
    </r>
    <r>
      <rPr>
        <sz val="9"/>
        <rFont val="Calibri"/>
        <charset val="134"/>
        <scheme val="minor"/>
      </rPr>
      <t xml:space="preserve">
C.3.4. Indikator Kinerja Utama
C.3.4.a) Kualitas Input Mahasiswa
A. Metoda rekrutmen dan keketatan seleksi.
Tabel 2.a LKPS
</t>
    </r>
  </si>
  <si>
    <t>C.3.4.b) Daya Tarik Program Studi
A. Peningkatan animo calon mahasiswa.
Tabel 2.a LKPS
B. Mahasiswa asing
Tabel 2.b LKPS</t>
  </si>
  <si>
    <t>C.3.4.c) Layanan Kemahasiswaan
A. Ketersediaan layanan kemahasiswaan di bidang: 1) penalaran, minat dan bakat, 2) kesejahteraan (bimbingan dan konseling, layanan beasiswa, dan layanan kesehatan), dan 3) bimbingan karir dan kewirausahaan.
B. Akses dan mutu layanan kemahasiswaan.</t>
  </si>
  <si>
    <r>
      <rPr>
        <b/>
        <sz val="9"/>
        <rFont val="Calibri"/>
        <charset val="134"/>
        <scheme val="minor"/>
      </rPr>
      <t>C.4. Sumber Daya Manusia</t>
    </r>
    <r>
      <rPr>
        <sz val="9"/>
        <rFont val="Calibri"/>
        <charset val="134"/>
        <scheme val="minor"/>
      </rPr>
      <t xml:space="preserve">
C.4.4. Indikator Kinerja Utama
C.4.4.a) Profil Dosen
Kecukupan jumlah DTPS.
Tabel 3.a.1) LKPS</t>
    </r>
  </si>
  <si>
    <t>Skor min. = 3,5</t>
  </si>
  <si>
    <t>Skor min. = 3,0</t>
  </si>
  <si>
    <t>Rasio jumlah mahasiswa program studi terhadap jumlah DTPS.
Tabel 2.a LKPS
Tabel 3.a.1) LKPS</t>
  </si>
  <si>
    <t>C.4.4.b) Kinerja Dosen
Pengakuan/rekognisi atas kepakaran/prestasi/kinerja DTPS.
Tabel 3.b.1) LKPS</t>
  </si>
  <si>
    <t>C.4.4.c) Pengembangan Dosen
Upaya pengembangan dosen.</t>
  </si>
  <si>
    <t xml:space="preserve">C.4.4.d) Tenaga Kependidikan
A. Kualifikasi dan kecukupan tenaga kependidikan berdasarkan jenis pekerjaannya (administrasi, pustakawan, teknisi, dll.)
B. Kualifikasi dan kecukupan laboran untuk mendukung proses pembelajaran sesuai dengan kebutuhan program studi. </t>
  </si>
  <si>
    <r>
      <rPr>
        <b/>
        <sz val="9"/>
        <rFont val="Calibri"/>
        <charset val="134"/>
        <scheme val="minor"/>
      </rPr>
      <t>C.5. Keuangan, Sarana dan Prasarana</t>
    </r>
    <r>
      <rPr>
        <sz val="9"/>
        <rFont val="Calibri"/>
        <charset val="134"/>
        <scheme val="minor"/>
      </rPr>
      <t xml:space="preserve">
C.5.4. Indikator Kinerja Utama
C.5.4.a) Keuangan
Biaya operasional pendidikan.
Tabel 4 LKPS</t>
    </r>
  </si>
  <si>
    <t>Realisasi investasi (SDM, sarana dan prasarana) yang mendukung penyelenggaraan tridharma.</t>
  </si>
  <si>
    <t>C.5.4.b) Sarana dan Prasarana
Kecukupan, aksesibilitas dan mutu sarana dan prasarana untuk menjamin pencapaian capaian pembelajaran dan meningkatkan suasana akademik.</t>
  </si>
  <si>
    <r>
      <rPr>
        <b/>
        <sz val="9"/>
        <rFont val="Calibri"/>
        <charset val="134"/>
        <scheme val="minor"/>
      </rPr>
      <t>C.6. Pendidikan</t>
    </r>
    <r>
      <rPr>
        <sz val="9"/>
        <rFont val="Calibri"/>
        <charset val="134"/>
        <scheme val="minor"/>
      </rPr>
      <t xml:space="preserve">
C.6.4. Indikator Kinerja Utama
C.6.4.a) Kurikulum
A. Keterlibatan pemangku kepentingan dalam proses evaluasi dan pemutakhiran kurikulum.
B. Kesesuaian capaian pembelajaran dengan profil lulusan dan jenjang KKNI/SKKNI.
C. Ketepatan struktur kurikulum dalam pembentukan capaian pembelajaran.</t>
    </r>
  </si>
  <si>
    <t>C.6.4.b) Karakteristik Proses Pembelajaran
Pemenuhan karakteristik proses pembelajaran, yang terdiri atas sifat: 1) interaktif, 2) holistik, 3) integratif, 4) saintifik, 5) kontekstual, 6) tematik, 7) efektif, 8) kolaboratif, dan 9) berpusat pada mahasiswa.</t>
  </si>
  <si>
    <t>C.6.4.c) Rencana Proses Pembelajaran
A. Ketersediaan dan kelengkapan dokumen rencana pembelajaran semester (RPS).
B. Kedalaman dan keluasan RPS sesuai dengan capaian pembelajaran lulusan.</t>
  </si>
  <si>
    <t>C.6.4.d) Pelaksanaan Proses Pembelajaran
A. Bentuk interaksi antara dosen, mahasiswa dan sumber belajar.
B. Pemantauan kesesuaian proses terhadap rencana pembelajaran.
C. Proses pembelajaran yang terkait dengan penelitian harus mengacu SN Dikti Penelitian: 1) hasil penelitian: harus memenuhi pengembangan IPTEKS, meningkatkan kesejahteraan masyarakat, dan daya saing bangsa. 2) isi penelitian: memenuhi kedalaman dan keluasan materi penelitian sesuai capaian pembelajaran. 3) proses penelitian: mencakup perencanaan, pelaksanaan, dan pelaporan. 4) penilaian penelitian memenuhi unsur edukatif, obyektif, akuntabel, dan transparan.
D. Proses pembelajaran yang terkait dengan PkM harus mengacu SN Dikti PkM: 1) hasil PkM: harus memenuhi pengembangan IPTEKS, meningkatkan kesejahteraan masyarakat, dan daya saing bangsa. 2) isi PkM: memenuhi kedalaman dan keluasan materi PkM sesuai capaian pembelajaran. 3) proses PkM:  mencakup perencanaan, pelaksanaan, dan pelaporan. 4) penilaian PkM memenuhi unsur edukatif, obyektif, akuntabel, dan transparan.
E. Kesesuaian metode pembelajaran dengan capaian pembelajaran. Contoh: RBE (research based education), IBE (industry based education), teaching factory/teaching industry, dll.</t>
  </si>
  <si>
    <t>C.6.4.e) Monitoring dan Evaluasi Proses Pembelajaran
Monitoring dan evaluasi pelaksanaan proses pembelajaran mencakup karakteristik, perencanaan, pelaksanaan, proses pembelajaran dan beban belajar mahasiswa untuk memperoleh capaian pembelajaran lulusan.</t>
  </si>
  <si>
    <t>C.6.4.f) Penilaian Pembelajaran
A. Mutu pelaksanaan penilaian pembelajaran (proses dan hasil belajar mahasiswa) untuk mengukur ketercapaian capaian pembelajaran berdasarkan prinsip penilaian yang mencakup:1) edukatif, 2) otentik, 3) objektif, 4) akuntabel, dan 5) transparan, yang dilakukan secara terintegrasi.
B. Pelaksanaan penilaian terdiri atas teknik dan instrumen penilaian. Teknik penilaian terdiri dari: 1) observasi, 2) partisipasi, 3) unjuk kerja, 4) test tertulis, 5) test lisan, dan 6) angket. Instrumen penilaian terdiri dari: 1) penilaian proses dalam bentuk rubrik, dan/ atau, 2) penilaian hasil dalam bentuk portofolio, atau 3) karya disain.
C. Pelaksanaan penilaian memuat unsur-unsur sebagai berikut: 1) mempunyai kontrak rencana penilaian, 2) melaksanakan penilaian sesuai kontrak atau kesepakatan, 3) memberikan umpan balik dan memberi kesempatan untuk mempertanyakan hasil kepada mahasiswa, 4) mempunyai dokumentasi penilaian proses dan hasil belajar mahasiswa, 5) mempunyai prosedur yang mencakup tahap perencanaan, kegiatan pemberian tugas atau soal, observasi kinerja, pengembalian hasil observasi, dan pemberian nilai akhir, 6) pelaporan penilaian berupa kualifikasi keberhasilan mahasiswa dalam menempuh suatu mata kuliah dalam bentuk huruf dan angka, 7) mempunyai bukti-bukti rencana dan telah melakukan proses perbaikan berdasar hasil monev penilaian.</t>
  </si>
  <si>
    <t>C.6.4.g) Integrasi kegiatan penelitian dan PkM dalam pembelajaran
Integrasi kegiatan penelitian dan PkM dalam pembelajaran oleh DTPS dalam 3 tahun terakhir.
Tabel 5.b LKPS</t>
  </si>
  <si>
    <t>C.6.4.h) Suasana Akademik
Keterlaksanaan dan keberkalaan program dan kegiatan diluar kegiatan pembelajaran terstruktur untuk meningkatkan suasana akademik.
Contoh: kegiatan himpunan mahasiswa, kuliah umum/studium generale, seminar ilmiah, bedah buku.</t>
  </si>
  <si>
    <t>C.6.4.i) Kepuasan Mahasiswa
A. Tingkat kepuasan mahasiswa terhadap proses pendidikan.
Tabel 5.c LKPS
B. Analisis dan tindak lanjut dari hasil pengukuran kepuasan mahasiswa.</t>
  </si>
  <si>
    <r>
      <rPr>
        <b/>
        <sz val="9"/>
        <rFont val="Calibri"/>
        <charset val="134"/>
        <scheme val="minor"/>
      </rPr>
      <t>C.7. Penelitian</t>
    </r>
    <r>
      <rPr>
        <sz val="9"/>
        <rFont val="Calibri"/>
        <charset val="134"/>
        <scheme val="minor"/>
      </rPr>
      <t xml:space="preserve">
C.7.4. Indikator Kinerja Utama
C.7.4.a) Relevansi Penelitian
Relevansi penelitian pada UPPS mencakup unsur-unsur sebagai berikut: 1) memiliki peta jalan yang memayungi tema penelitian dosen dan mahasiswa, 2) dosen dan mahasiswa melaksanakan penelitian sesuai dengan agenda penelitian dosen yang merujuk kepada peta jalan penelitian, 3) melakukan evaluasi kesesuaian penelitian dosen dan mahasiswa dengan peta jalan, dan 4) menggunakan hasil evaluasi untuk perbaikan relevansi penelitian dan pengembangan keilmuan program studi.</t>
    </r>
  </si>
  <si>
    <t>C.7.4.b) Penelitian Dosen dan Mahasiswa
Penelitian DTPS yang dalam pelaksanaannya melibatkan mahasiswa program studi dalam 3 tahun terakhir.
Tabel 6.a LKPS</t>
  </si>
  <si>
    <r>
      <rPr>
        <b/>
        <sz val="9"/>
        <rFont val="Calibri"/>
        <charset val="134"/>
        <scheme val="minor"/>
      </rPr>
      <t>C.8. Pengabdian kepada Masyarakat</t>
    </r>
    <r>
      <rPr>
        <sz val="9"/>
        <rFont val="Calibri"/>
        <charset val="134"/>
        <scheme val="minor"/>
      </rPr>
      <t xml:space="preserve">
C.8.4. Indikator Kinerja Utama
C.8.4.a) Relevansi PkM
Relevansi PkM pada UPPS mencakup unsur-unsur sebagai berikut: 1) memiliki peta jalan yang memayungi tema PkM dosen dan mahasiswa serta hilirisasi/penerapan keilmuan program studi, 2) dosen dan mahasiswa melaksanakan PkM sesuai dengan peta jalan PkM, 3) melakukan evaluasi kesesuaian PkM dosen dan mahasiswa dengan peta jalan, dan 4) menggunakan hasil evaluasi untuk perbaikan relevansi PkM dan pengembangan keilmuan program studi.</t>
    </r>
  </si>
  <si>
    <t>C.8.4.b) PkM Dosen dan Mahasiswa
PkM DTPS yang dalam pelaksanaannya melibatkan mahasiswa program studi dalam 3 tahun terakhir.
Tabel 7 LKPS</t>
  </si>
  <si>
    <r>
      <rPr>
        <b/>
        <sz val="9"/>
        <rFont val="Calibri"/>
        <charset val="134"/>
        <scheme val="minor"/>
      </rPr>
      <t>C.9. Luaran dan Capaian Tridharma</t>
    </r>
    <r>
      <rPr>
        <sz val="9"/>
        <rFont val="Calibri"/>
        <charset val="134"/>
        <scheme val="minor"/>
      </rPr>
      <t xml:space="preserve">
C.9.4. Indikator Kinerja Utama
C.9.4.a) Luaran Dharma  Pendidikan
Analisis pemenuhan capaian pembelajaran lulusan (CPL) yang diukur dengan metoda yang sahih dan relevan, mencakup aspek: 1) keserbacakupan, 
2) kedalaman, dan 3) kebermanfaatan analisis yang ditunjukkan dengan peningkatan CPL dari waktu ke waktu dalam 3 tahun terakhir.</t>
    </r>
  </si>
  <si>
    <t xml:space="preserve">Pelaksanaan tracer study yang mencakup 5 aspek sebagai berikut: 1) pelaksanaan tracer study terkoordinasi di tingkat PT, 2) kegiatan tracer study dilakukan secara reguler setiap tahun dan terdokumentasi, 3) isi kuesioner mencakup seluruh pertanyaan inti tracer study DIKTI, 4) ditargetkan pada seluruh populasi (lulusan TS-4 s.d. TS-2), dan 5) hasilnya disosialisasikan dan digunakan untuk pengembangan kurikulum dan pembelajaran. </t>
  </si>
  <si>
    <t>Waktu tunggu.
Tabel 8.d.1) LKPS</t>
  </si>
  <si>
    <t>C.9.4.b) Luaran Dharma Penelitian dan PkM 
Publikasi ilmiah mahasiswa, yang dihasilkan secara mandiri atau bersama DTPS, dengan judul yang relevan dengan bidang program studi dalam 3 tahun terakhir.
Tabel 8.f.1) LKPS</t>
  </si>
  <si>
    <r>
      <rPr>
        <b/>
        <sz val="9"/>
        <color theme="1"/>
        <rFont val="Calibri"/>
        <charset val="134"/>
        <scheme val="minor"/>
      </rPr>
      <t xml:space="preserve">D  Analisis dan Penetapan Program Pengembangan
D.1 
Analisis dan Capaian Kinerja
</t>
    </r>
    <r>
      <rPr>
        <sz val="9"/>
        <color theme="1"/>
        <rFont val="Calibri"/>
        <charset val="134"/>
        <scheme val="minor"/>
      </rPr>
      <t>Keserbacakupan (kelengkapan, keluasan, dan kedalaman), ketepatan, ketajaman, dan kesesuaian analisis capaian kinerja serta konsistensi dengan setiap kriteria.</t>
    </r>
  </si>
  <si>
    <r>
      <rPr>
        <b/>
        <sz val="9"/>
        <color theme="1"/>
        <rFont val="Calibri"/>
        <charset val="134"/>
        <scheme val="minor"/>
      </rPr>
      <t xml:space="preserve">D.2 
Analisis SWOT atau Analisis Lain yang Relevan
</t>
    </r>
    <r>
      <rPr>
        <sz val="9"/>
        <color theme="1"/>
        <rFont val="Calibri"/>
        <charset val="134"/>
        <scheme val="minor"/>
      </rPr>
      <t>Ketepatan analisis SWOT atau analisis yang relevan di dalam mengembangkan strategi.</t>
    </r>
  </si>
  <si>
    <r>
      <rPr>
        <b/>
        <sz val="9"/>
        <color theme="1"/>
        <rFont val="Calibri"/>
        <charset val="134"/>
        <scheme val="minor"/>
      </rPr>
      <t xml:space="preserve">D.3
Program Pengembangan
</t>
    </r>
    <r>
      <rPr>
        <sz val="9"/>
        <color theme="1"/>
        <rFont val="Calibri"/>
        <charset val="134"/>
        <scheme val="minor"/>
      </rPr>
      <t>Ketepatan di dalam menetapkan prioritas program pengembangan.</t>
    </r>
  </si>
  <si>
    <r>
      <rPr>
        <b/>
        <sz val="9"/>
        <color rgb="FF000000"/>
        <rFont val="Calibri"/>
        <charset val="134"/>
        <scheme val="minor"/>
      </rPr>
      <t xml:space="preserve">D.4 
Program Keberlanjutan
</t>
    </r>
    <r>
      <rPr>
        <sz val="9"/>
        <color rgb="FF000000"/>
        <rFont val="Calibri"/>
        <charset val="134"/>
        <scheme val="minor"/>
      </rPr>
      <t>UPPS memiliki kebijakan, ketersediaan sumberdaya, kemampuan melaksanakan, dan kerealistikan program.</t>
    </r>
  </si>
  <si>
    <t>ttd</t>
  </si>
  <si>
    <t>KRITERIA</t>
  </si>
  <si>
    <t>Visi, Misi, Tujuan, dan Strategi</t>
  </si>
  <si>
    <t>UPPS memiliki VMTS yang sesuai dengan VMTS PT, jelas, visioner, dan realistik sesuai dengan kapasitas dan daya dukung yang dimilikinya.</t>
  </si>
  <si>
    <t>NILAI TERTIMBANG</t>
  </si>
  <si>
    <t>Dosen</t>
  </si>
  <si>
    <t>UPPS memiliki dosen tetap dengan rasio dosen: mahasiswa yang memadai</t>
  </si>
  <si>
    <t>Mahasiswa</t>
  </si>
  <si>
    <t>Mahasiswa reguler yang berada di UPPS memiliki IPK yang baik dan memiliki masa studi pendek</t>
  </si>
  <si>
    <t>Keuangan</t>
  </si>
  <si>
    <t>UPPS memiliki dana pendidikan, penelitian, pengabdian kepada masyarakat, publikasi, dan investasi yang memadai</t>
  </si>
  <si>
    <t>Sarana dan Prasarana</t>
  </si>
  <si>
    <t>UPPS menyediakan prasarana dan sarana pembelajaran dalam jumlah dan kualitas yang memungkinkan pembelajaran dapat berjalan dengan baik</t>
  </si>
  <si>
    <t>Kerjasama yang relevan</t>
  </si>
  <si>
    <t>UPPS menjalin kerjasama dengan pihak lain dalam bidang tridharma PT dan bidang lain yang relevan di dalam maupun luar negeri dalam jumlah yang memadai, dan didukung oleh bukti pelaksanaan kerjasama itu</t>
  </si>
  <si>
    <t>Sistem Penjaminan Mutu Internal (SPMI)</t>
  </si>
  <si>
    <t>UPPS memiliki dokumen SPMI yang lengkap (yaitu kebijakan SPMI, manual SPMI, standar SPMI, dan formulir SPMI); dilaksanakan secara konsisten; dan didokumentasikan dengan baik.</t>
  </si>
  <si>
    <t>Unggulan</t>
  </si>
  <si>
    <t>UPPS memiliki unggulan dalam bidang tridarma PT dan didukung oleh bukti yang valid</t>
  </si>
  <si>
    <t>Posisi daya saing UPPS</t>
  </si>
  <si>
    <t>UPPS memiliki tingkat daya saing yang baik di lingkungan Lembaga Pendidikan Tenaga Kependidikan (LPTK)</t>
  </si>
  <si>
    <t>JUDGE</t>
  </si>
  <si>
    <t>Kebijakan dan pelaksanaan VMTS</t>
  </si>
  <si>
    <t>Keberadaan kebijakan tertulis pimpinan PT (Rektor, Dekan, atau Ketua) tentang penyusunan, sosialisasi, pelaksanaan, dan evaluasi VMTS PT, UPPS, dan PS</t>
  </si>
  <si>
    <t>Kesesuaian visi keilmuan dan tujuan PS dengan VNTS UPPS</t>
  </si>
  <si>
    <t>Visi keilmuan dan tujuan PS sesuai dengan VMTS UPPS dan PT</t>
  </si>
  <si>
    <t>Kerealistikan Visi keilmuan dan tujuan PS</t>
  </si>
  <si>
    <t>Visi keilmuan dan tujuan PS realistis dilihat dari daya dukung yang dimiliki: SDM, prasarana, sarana, finansial, kemitraan, kerjasama, dan lain-lain</t>
  </si>
  <si>
    <t>Kejelasan strategi pencapaian Visi keilmuan dan tujuan PS</t>
  </si>
  <si>
    <t>PS memiliki strategi pencapaian Visi keilmuan dan tujuan PS yang jelas</t>
  </si>
  <si>
    <t>Tingkat pemahaman Visi keilmuan dan tujuan PS</t>
  </si>
  <si>
    <t>Visi keilmuan dan tujuan PS dipahami oleh pengelola PS, dewan dosen, tenaga kependidikan, dan mahasiswa, sebagai panduan untuk melakukan kegiatan tridharma PT</t>
  </si>
  <si>
    <t>Kebijakan dan pelaksanaan tata pamong, tata kelola, kepemimpinan, kerjasama, dan penjaminan mutu</t>
  </si>
  <si>
    <t>Keberadaan kebijakan tertulis pimpinan PT (Rektor, Dekan, atau Ketua) tentang tata pamong, tata kelola, kepimpinan, kerjasama, dan penjaminan mutu</t>
  </si>
  <si>
    <t>Tata pamong UPPS</t>
  </si>
  <si>
    <t>UPPS memiliki good governance dengan struktur organisasi dan tata pamong yang lengkap, tupoksi personalia yang jelas, danmemenuhi lima pilar: kredibel, transparan, akuntabel, bertanggung-jawab dan adil</t>
  </si>
  <si>
    <t>Tata Kelola UPPS</t>
  </si>
  <si>
    <t>UPPS memiliki tata kelola yang baik yang tercermin dari 9 aspek :
(1) perencanaan,
(2) pengorganisasian,
(3) pemilihan dan penempatan personel,
(4) pelaksanaan,
(5) pemantauan dan pengawasan,
(6) pengendalian,
(7) penilaian,
(8) pelaporan, dan  
(9) pengembangan sebagai wujud tindak lanjut</t>
  </si>
  <si>
    <t>Kepemimpinan UPPS</t>
  </si>
  <si>
    <t>UPPS memiliki kepemimpinan operasional, kepemimpinan organisasi, dan kepemimpinan publik</t>
  </si>
  <si>
    <t>Pelaksanaan kerjasama</t>
  </si>
  <si>
    <t>UPPS memiliki kerjasama dengan mitra dalam bidang tridharma PT, dilaksanakan secara konsisten (didukung bukti yang lengkap tentang realisasi kerjasama tersebut - SPK, surat tugas, dan laporan pelaksanaan kerjasama), dan dievaluasi secara berkala</t>
  </si>
  <si>
    <t>Penjaminan mutu PS</t>
  </si>
  <si>
    <t>PS memiliki unit/gugus penjaminan mutu yang melaksanakan siklus Penetapan, Pelaksanaan, Evaluasi, Pengendalian, dan Peningkatan (PPEPP) secara konsisten dan memiliki dokumen pendukung yang lengkap</t>
  </si>
  <si>
    <t xml:space="preserve">PENILAIAN AKREDITASI PROGRAM STUDI </t>
  </si>
  <si>
    <t>LAM-DIK</t>
  </si>
  <si>
    <t>A</t>
  </si>
  <si>
    <t>Profil UPPS (10.0)</t>
  </si>
  <si>
    <t>A. PROFIL</t>
  </si>
  <si>
    <t>B. KRITERIA</t>
  </si>
  <si>
    <t xml:space="preserve"> Visi, Misi, Tujuan, dan strategi (VMTS) 
(3,00)</t>
  </si>
  <si>
    <t>Tata Pamong, Tata kelola, Kerjama, dan Penjaminan Mutu (4.50)</t>
  </si>
  <si>
    <t>Mahasiswa (3.50)</t>
  </si>
  <si>
    <t>Perguruan tinggi/ UPPS memiliki kebijakan tentang rekrutmen dan tes seleksi calon mahasiswa baru (termasuk tes bakat, minat, dan panggilan jiwa sebagai calon pendidik/ guru), melaksanakannya secara konsisten, dan mendokumentasikannya dengan baik</t>
  </si>
  <si>
    <t>Rekrutmen calon mahasiswa</t>
  </si>
  <si>
    <t>Kualitas input mahasiswa</t>
  </si>
  <si>
    <t>Kualitas input mahasiswa tercermin dari rasio antara calon mahasiswa yang mendaftar dan yang diterima serta memenuhi daya tampung</t>
  </si>
  <si>
    <t xml:space="preserve">Daya Tarik Program Studi </t>
  </si>
  <si>
    <t>Dalam tiga tahun terakhir jumlah animo calon mahasiswa meningkat</t>
  </si>
  <si>
    <t>Program layanan dan pembinaan mahasiswa</t>
  </si>
  <si>
    <t>Ketersediaan Program layanan dan pembinaan kemahasiswaan dalam bidang minat, bakat, penalaran, kesejahteraan, dan keprofesian</t>
  </si>
  <si>
    <t>Sumber Daya Manusia (8.00)</t>
  </si>
  <si>
    <t>Rekrutmen dosen tetap PS (DTPS)</t>
  </si>
  <si>
    <t>Perguruan tinggi/ UPPS memiliki kebijakan tentang rekrutmen dan tes seleksi calon dosen, termasuk tes kompetensi pedagogik (tes kemampuan bidang studi, peer teaching, dan wawancara); penghargaan, sanksi dan pemutusan hubungan kerja bagi dosen, dilaksanakan secara konsisten dan didokumentasikan secara baik</t>
  </si>
  <si>
    <t>Kualifikasi akademik DTPS</t>
  </si>
  <si>
    <t>PS memiliki DTPS dengan kualifikasi akademik magister/doktor yang relevan dengan mata kuliah inti di PS dalam jumlah yang memadai</t>
  </si>
  <si>
    <t>Jabaan akademik DTPS</t>
  </si>
  <si>
    <t>PS memiliki DTPS dengan jabatan fungsional Guru Besar dan Lektor Kepala dalam jumlah memadai</t>
  </si>
  <si>
    <t>Sertifikasi pendidik DTPS</t>
  </si>
  <si>
    <t>PS memiliki DTPS yang telah memiliki sertifikat pendidik dalam jumlah yang memadai</t>
  </si>
  <si>
    <t>Rasio DTPS mahasiswa</t>
  </si>
  <si>
    <t>PS memiliki rasio jumah DTPS: jumlah mahasiswa yang sehat, baik untuk kelompok saintek maupun humainora</t>
  </si>
  <si>
    <t>Beban kerja DTPS</t>
  </si>
  <si>
    <t>Beban Kerja (BK) dalam satu tahun terakhir memungkinkan DTPS bekerja secara maksimal</t>
  </si>
  <si>
    <t>Kehadiran mengajar DTPS</t>
  </si>
  <si>
    <t xml:space="preserve">Kehadiran DTPS mengajar di PS sesuai dengan yang direncanakan </t>
  </si>
  <si>
    <t>Jumlah mahasiswa bimbingan tugas akhir/skripsi</t>
  </si>
  <si>
    <t>DTPS menjadi pembimbing utama tugas akhir (gabungan skripsi, tesis, dan disertasi) yang memungkinkan pembimbingan berjalan dengan baik</t>
  </si>
  <si>
    <t>Prestasi DTPS</t>
  </si>
  <si>
    <t>DTPS memiliki prestasi (pembicara kunci, dosen tamu, narasumber, konsultan, editor, dll) yang diakui oleh pihak lain</t>
  </si>
  <si>
    <t>Pengembangan kompetensi dan karier DTPS melalui kegiatan keprofesian berkelanjutan</t>
  </si>
  <si>
    <t>DTPS mengikuti kegiatan keprofesian berkelanjutan, seperti studi lanjut postdoc, academic recharging program (ARP) kursus singkat, magang, pelatihan, sertifikasi, konferensi, seminar, dan lokakarya dalam 3 tahun terakhir</t>
  </si>
  <si>
    <t>Rekrutmen tenaga kependidkan</t>
  </si>
  <si>
    <t>Perguruan tinggi/UPPS memiliki kebijakan rekrutmen dan tes seleksi tendik secara lengkap; penghargaan, sanksi dan pemutusan hubungan kerja bagi tenaga kependidkan, dilaksanakan secara konsisten, dan didokumentasikan dengan baik</t>
  </si>
  <si>
    <t xml:space="preserve">Profil tenaga kependidikan </t>
  </si>
  <si>
    <t>UPPS memiliki tendik dalam jumlah memadai dan relevan dengan kebutuhan UPPS dan PS, yang terdiri atas: pustakawan, laboran/teknisi/operator</t>
  </si>
  <si>
    <t>Pengembangan kompetensi dan karier tenaga kependidikan</t>
  </si>
  <si>
    <t>Tendik mengikuti berbagai kegiatan pengembangan keprofesian seperti studi lanjut, diklat, workshop, sertifikasi, magang, atau peningkatan pelayanan umum lainnya (excellence service) yang relevan dengen tupoksi</t>
  </si>
  <si>
    <t>Kepuasan dosen dan tenaga kependidikan terhadap manajemen SDM</t>
  </si>
  <si>
    <t>Adanya kebijakan, implementasi, evaluasi, dan tindak lanjut kepuasan dosen dan tendik tentang manajemen SDM</t>
  </si>
  <si>
    <t>Keuangan, Sarana dan Prasarana</t>
  </si>
  <si>
    <t>Kebijakan dan Pelaksanaan keuangan, sarana, dan prasarana</t>
  </si>
  <si>
    <t>Keberadaan kebijakan tertulis pimpinan PT (rektor, Dekan, atau Ketua) tentang keuangan, sarana, dan prasarana</t>
  </si>
  <si>
    <t>Biaya operasional pendidikan</t>
  </si>
  <si>
    <t>PS memiliki biaya operasional pendidikan yang memadai</t>
  </si>
  <si>
    <t>Biaya operasional penelitian</t>
  </si>
  <si>
    <t>PS memiliki biaya operasional penelitian yang memadai</t>
  </si>
  <si>
    <t>Biaya operasional PkM</t>
  </si>
  <si>
    <t>PS memiliki biaya operasional PkM yang memadai</t>
  </si>
  <si>
    <t>Biaya operasional Publikasi</t>
  </si>
  <si>
    <t>PS memiliki biaya operasional Publikasi yang memadai</t>
  </si>
  <si>
    <t>Prasarana pendidikan</t>
  </si>
  <si>
    <t>PT, UPPS, dan PS menyediakan prasarana pendidikan (seperti ruang kuliah, ruang lab microteaching, dan ruang perpustakaan) dalam jumlah yang memadai, berkualitas, dan terawat</t>
  </si>
  <si>
    <t>Sarana pendidikan</t>
  </si>
  <si>
    <t>PT, UPPS, dan PS menyediakan sarana pendidikan (seperti LCD, alat laboratorium microteaching, referensi) dalam jumlah yang memadai, berkualitas, dan terawat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</si>
</sst>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_-* #,##0.00_-;\-* #,##0.00_-;_-* &quot;-&quot;??_-;_-@_-"/>
    <numFmt numFmtId="167" formatCode="_-* #,##0_-;\-* #,##0_-;_-* &quot;-&quot;_-;_-@_-"/>
    <numFmt numFmtId="168" formatCode="[$-409]d\-mmm\-yyyy;@"/>
    <numFmt numFmtId="169" formatCode="0.0"/>
  </numFmts>
  <fonts count="64">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charset val="134"/>
      <scheme val="minor"/>
    </font>
    <font>
      <sz val="9"/>
      <color theme="1"/>
      <name val="Calibri"/>
      <charset val="134"/>
      <scheme val="minor"/>
    </font>
    <font>
      <sz val="12"/>
      <color theme="1"/>
      <name val="Calibri"/>
      <charset val="134"/>
      <scheme val="minor"/>
    </font>
    <font>
      <b/>
      <sz val="11"/>
      <color indexed="8"/>
      <name val="Calibri"/>
      <charset val="134"/>
      <scheme val="minor"/>
    </font>
    <font>
      <b/>
      <u/>
      <sz val="11"/>
      <color indexed="8"/>
      <name val="Calibri"/>
      <charset val="134"/>
      <scheme val="minor"/>
    </font>
    <font>
      <sz val="11"/>
      <color indexed="8"/>
      <name val="Calibri"/>
      <charset val="134"/>
      <scheme val="minor"/>
    </font>
    <font>
      <b/>
      <sz val="10"/>
      <color indexed="8"/>
      <name val="Calibri"/>
      <charset val="134"/>
      <scheme val="minor"/>
    </font>
    <font>
      <sz val="9"/>
      <name val="Calibri"/>
      <charset val="134"/>
      <scheme val="minor"/>
    </font>
    <font>
      <b/>
      <sz val="9"/>
      <name val="Calibri"/>
      <charset val="134"/>
      <scheme val="minor"/>
    </font>
    <font>
      <sz val="9"/>
      <color indexed="8"/>
      <name val="Calibri"/>
      <charset val="134"/>
      <scheme val="minor"/>
    </font>
    <font>
      <b/>
      <sz val="11"/>
      <color theme="0"/>
      <name val="Calibri"/>
      <charset val="134"/>
      <scheme val="minor"/>
    </font>
    <font>
      <b/>
      <sz val="9"/>
      <color theme="1"/>
      <name val="Calibri"/>
      <charset val="134"/>
      <scheme val="minor"/>
    </font>
    <font>
      <b/>
      <sz val="9"/>
      <color rgb="FF000000"/>
      <name val="Calibri"/>
      <charset val="134"/>
      <scheme val="minor"/>
    </font>
    <font>
      <sz val="11"/>
      <name val="Calibri"/>
      <charset val="134"/>
      <scheme val="minor"/>
    </font>
    <font>
      <b/>
      <sz val="12"/>
      <color theme="1"/>
      <name val="Calibri"/>
      <charset val="134"/>
      <scheme val="minor"/>
    </font>
    <font>
      <b/>
      <sz val="11"/>
      <color theme="1"/>
      <name val="Calibri"/>
      <charset val="134"/>
      <scheme val="minor"/>
    </font>
    <font>
      <b/>
      <sz val="11"/>
      <name val="Calibri"/>
      <charset val="134"/>
      <scheme val="minor"/>
    </font>
    <font>
      <u/>
      <sz val="11"/>
      <color indexed="8"/>
      <name val="Calibri"/>
      <charset val="134"/>
      <scheme val="minor"/>
    </font>
    <font>
      <sz val="11"/>
      <color theme="0"/>
      <name val="Calibri"/>
      <charset val="134"/>
      <scheme val="minor"/>
    </font>
    <font>
      <sz val="9"/>
      <color theme="1"/>
      <name val="Arial"/>
      <charset val="134"/>
    </font>
    <font>
      <sz val="11"/>
      <color rgb="FF000000"/>
      <name val="Calibri"/>
      <charset val="134"/>
      <scheme val="minor"/>
    </font>
    <font>
      <sz val="18"/>
      <color theme="1"/>
      <name val="Calibri"/>
      <charset val="134"/>
      <scheme val="minor"/>
    </font>
    <font>
      <b/>
      <sz val="16"/>
      <color theme="0"/>
      <name val="Calibri"/>
      <charset val="134"/>
      <scheme val="minor"/>
    </font>
    <font>
      <b/>
      <sz val="22"/>
      <color theme="1"/>
      <name val="Calibri"/>
      <charset val="134"/>
      <scheme val="minor"/>
    </font>
    <font>
      <b/>
      <sz val="26"/>
      <color indexed="9"/>
      <name val="Calibri"/>
      <charset val="134"/>
    </font>
    <font>
      <b/>
      <sz val="18"/>
      <color theme="1"/>
      <name val="Calibri"/>
      <charset val="134"/>
      <scheme val="minor"/>
    </font>
    <font>
      <sz val="14"/>
      <color rgb="FF92D050"/>
      <name val="Calibri"/>
      <charset val="134"/>
      <scheme val="minor"/>
    </font>
    <font>
      <sz val="14"/>
      <color theme="1"/>
      <name val="Calibri"/>
      <charset val="134"/>
      <scheme val="minor"/>
    </font>
    <font>
      <sz val="11"/>
      <color rgb="FFFFFF00"/>
      <name val="Calibri"/>
      <charset val="134"/>
      <scheme val="minor"/>
    </font>
    <font>
      <b/>
      <sz val="18"/>
      <color indexed="9"/>
      <name val="Calibri"/>
      <charset val="134"/>
    </font>
    <font>
      <b/>
      <sz val="14"/>
      <color indexed="9"/>
      <name val="Calibri"/>
      <charset val="134"/>
    </font>
    <font>
      <sz val="18"/>
      <name val="Calibri"/>
      <charset val="134"/>
    </font>
    <font>
      <b/>
      <sz val="18"/>
      <color rgb="FF008080"/>
      <name val="Calibri"/>
      <charset val="134"/>
    </font>
    <font>
      <b/>
      <sz val="14"/>
      <color rgb="FF008080"/>
      <name val="Calibri"/>
      <charset val="134"/>
    </font>
    <font>
      <b/>
      <sz val="18"/>
      <color rgb="FFFFFF00"/>
      <name val="Calibri"/>
      <charset val="134"/>
      <scheme val="minor"/>
    </font>
    <font>
      <u/>
      <sz val="11"/>
      <color theme="10"/>
      <name val="Calibri"/>
      <charset val="134"/>
    </font>
    <font>
      <sz val="9"/>
      <color rgb="FF000000"/>
      <name val="Calibri"/>
      <charset val="134"/>
      <scheme val="minor"/>
    </font>
    <font>
      <b/>
      <sz val="12"/>
      <color theme="0"/>
      <name val="Calibri"/>
      <charset val="134"/>
      <scheme val="minor"/>
    </font>
    <font>
      <b/>
      <sz val="12"/>
      <color rgb="FFFFFF00"/>
      <name val="Calibri"/>
      <charset val="134"/>
      <scheme val="minor"/>
    </font>
    <font>
      <i/>
      <sz val="11"/>
      <name val="Calibri"/>
      <charset val="134"/>
      <scheme val="minor"/>
    </font>
    <font>
      <vertAlign val="subscript"/>
      <sz val="11"/>
      <color theme="1"/>
      <name val="Calibri"/>
      <charset val="134"/>
      <scheme val="minor"/>
    </font>
    <font>
      <sz val="11"/>
      <color theme="0"/>
      <name val="Calibri"/>
      <charset val="134"/>
    </font>
    <font>
      <i/>
      <sz val="11"/>
      <color rgb="FF000000"/>
      <name val="Calibri"/>
      <charset val="134"/>
      <scheme val="minor"/>
    </font>
    <font>
      <vertAlign val="subscript"/>
      <sz val="11"/>
      <color rgb="FF000000"/>
      <name val="Calibri"/>
      <charset val="134"/>
      <scheme val="minor"/>
    </font>
    <font>
      <vertAlign val="subscript"/>
      <sz val="11"/>
      <name val="Calibri"/>
      <charset val="134"/>
      <scheme val="minor"/>
    </font>
    <font>
      <sz val="11"/>
      <color indexed="8"/>
      <name val="Calibri"/>
      <charset val="134"/>
    </font>
    <font>
      <i/>
      <sz val="11"/>
      <color indexed="8"/>
      <name val="Calibri"/>
      <charset val="134"/>
    </font>
    <font>
      <sz val="11"/>
      <color indexed="8"/>
      <name val="Symbol"/>
      <charset val="2"/>
    </font>
    <font>
      <b/>
      <sz val="9"/>
      <name val="Tahoma"/>
      <charset val="134"/>
    </font>
    <font>
      <sz val="9"/>
      <name val="Tahoma"/>
      <charset val="134"/>
    </font>
    <font>
      <sz val="11"/>
      <color theme="1"/>
      <name val="Calibri"/>
      <charset val="134"/>
      <scheme val="minor"/>
    </font>
    <font>
      <b/>
      <sz val="11"/>
      <color theme="0"/>
      <name val="Calibri"/>
      <family val="2"/>
      <scheme val="minor"/>
    </font>
    <font>
      <b/>
      <sz val="11"/>
      <color theme="1"/>
      <name val="Calibri"/>
      <family val="2"/>
      <scheme val="minor"/>
    </font>
    <font>
      <sz val="11"/>
      <color indexed="8"/>
      <name val="Calibri"/>
      <family val="2"/>
      <scheme val="minor"/>
    </font>
    <font>
      <sz val="9"/>
      <color indexed="81"/>
      <name val="Tahoma"/>
      <family val="2"/>
    </font>
    <font>
      <b/>
      <sz val="9"/>
      <color indexed="81"/>
      <name val="Tahoma"/>
      <family val="2"/>
    </font>
    <font>
      <sz val="11"/>
      <name val="Calibri"/>
      <family val="2"/>
      <scheme val="minor"/>
    </font>
    <font>
      <b/>
      <sz val="11"/>
      <color indexed="8"/>
      <name val="Calibri"/>
      <family val="2"/>
      <scheme val="minor"/>
    </font>
    <font>
      <b/>
      <sz val="74"/>
      <color theme="0"/>
      <name val="Berlin Sans FB"/>
      <family val="2"/>
    </font>
    <font>
      <b/>
      <sz val="20"/>
      <color theme="1"/>
      <name val="Calibri"/>
      <family val="2"/>
      <scheme val="minor"/>
    </font>
  </fonts>
  <fills count="20">
    <fill>
      <patternFill patternType="none"/>
    </fill>
    <fill>
      <patternFill patternType="gray125"/>
    </fill>
    <fill>
      <patternFill patternType="solid">
        <fgColor theme="0" tint="-0.14996795556505021"/>
        <bgColor indexed="64"/>
      </patternFill>
    </fill>
    <fill>
      <patternFill patternType="solid">
        <fgColor theme="0" tint="-0.249977111117893"/>
        <bgColor indexed="64"/>
      </patternFill>
    </fill>
    <fill>
      <patternFill patternType="solid">
        <fgColor rgb="FF0070C0"/>
        <bgColor indexed="64"/>
      </patternFill>
    </fill>
    <fill>
      <patternFill patternType="solid">
        <fgColor rgb="FFFFFFFF"/>
        <bgColor indexed="64"/>
      </patternFill>
    </fill>
    <fill>
      <patternFill patternType="solid">
        <fgColor theme="9"/>
        <bgColor indexed="64"/>
      </patternFill>
    </fill>
    <fill>
      <patternFill patternType="solid">
        <fgColor theme="8" tint="-0.249977111117893"/>
        <bgColor indexed="64"/>
      </patternFill>
    </fill>
    <fill>
      <patternFill patternType="solid">
        <fgColor rgb="FF00B050"/>
        <bgColor indexed="64"/>
      </patternFill>
    </fill>
    <fill>
      <patternFill patternType="solid">
        <fgColor rgb="FFFFFF00"/>
        <bgColor indexed="64"/>
      </patternFill>
    </fill>
    <fill>
      <patternFill patternType="solid">
        <fgColor indexed="13"/>
        <bgColor indexed="64"/>
      </patternFill>
    </fill>
    <fill>
      <patternFill patternType="solid">
        <fgColor rgb="FFBFBFBF"/>
        <bgColor rgb="FFFFFFFF"/>
      </patternFill>
    </fill>
    <fill>
      <patternFill patternType="solid">
        <fgColor rgb="FF00FF00"/>
        <bgColor indexed="64"/>
      </patternFill>
    </fill>
    <fill>
      <patternFill patternType="solid">
        <fgColor theme="1"/>
        <bgColor indexed="64"/>
      </patternFill>
    </fill>
    <fill>
      <patternFill patternType="solid">
        <fgColor theme="0"/>
        <bgColor indexed="64"/>
      </patternFill>
    </fill>
    <fill>
      <patternFill patternType="solid">
        <fgColor theme="8" tint="0.79995117038483843"/>
        <bgColor indexed="64"/>
      </patternFill>
    </fill>
    <fill>
      <patternFill patternType="solid">
        <fgColor rgb="FF66FF33"/>
        <bgColor indexed="64"/>
      </patternFill>
    </fill>
    <fill>
      <patternFill patternType="solid">
        <fgColor indexed="21"/>
        <bgColor indexed="64"/>
      </patternFill>
    </fill>
    <fill>
      <patternFill patternType="solid">
        <fgColor theme="9" tint="0.59999389629810485"/>
        <bgColor indexed="64"/>
      </patternFill>
    </fill>
    <fill>
      <patternFill patternType="solid">
        <fgColor theme="6" tint="0.79995117038483843"/>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style="medium">
        <color auto="1"/>
      </bottom>
      <diagonal/>
    </border>
    <border>
      <left/>
      <right style="thin">
        <color auto="1"/>
      </right>
      <top style="medium">
        <color auto="1"/>
      </top>
      <bottom/>
      <diagonal/>
    </border>
    <border>
      <left/>
      <right style="medium">
        <color auto="1"/>
      </right>
      <top style="thin">
        <color auto="1"/>
      </top>
      <bottom style="thin">
        <color auto="1"/>
      </bottom>
      <diagonal/>
    </border>
    <border>
      <left style="thin">
        <color auto="1"/>
      </left>
      <right/>
      <top/>
      <bottom style="thin">
        <color auto="1"/>
      </bottom>
      <diagonal/>
    </border>
    <border>
      <left/>
      <right style="thin">
        <color auto="1"/>
      </right>
      <top/>
      <bottom/>
      <diagonal/>
    </border>
    <border>
      <left style="thin">
        <color auto="1"/>
      </left>
      <right style="medium">
        <color auto="1"/>
      </right>
      <top/>
      <bottom style="thin">
        <color auto="1"/>
      </bottom>
      <diagonal/>
    </border>
    <border>
      <left/>
      <right style="thin">
        <color auto="1"/>
      </right>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right/>
      <top/>
      <bottom style="medium">
        <color auto="1"/>
      </bottom>
      <diagonal/>
    </border>
    <border>
      <left style="thin">
        <color auto="1"/>
      </left>
      <right style="thin">
        <color auto="1"/>
      </right>
      <top style="medium">
        <color auto="1"/>
      </top>
      <bottom style="thin">
        <color auto="1"/>
      </bottom>
      <diagonal/>
    </border>
    <border>
      <left/>
      <right style="medium">
        <color rgb="FF000000"/>
      </right>
      <top/>
      <bottom style="thin">
        <color rgb="FF000000"/>
      </bottom>
      <diagonal/>
    </border>
    <border>
      <left/>
      <right style="thin">
        <color auto="1"/>
      </right>
      <top style="thin">
        <color auto="1"/>
      </top>
      <bottom style="thin">
        <color auto="1"/>
      </bottom>
      <diagonal/>
    </border>
    <border>
      <left/>
      <right style="medium">
        <color auto="1"/>
      </right>
      <top/>
      <bottom style="thin">
        <color auto="1"/>
      </bottom>
      <diagonal/>
    </border>
    <border>
      <left/>
      <right style="medium">
        <color auto="1"/>
      </right>
      <top/>
      <bottom/>
      <diagonal/>
    </border>
    <border>
      <left style="thin">
        <color rgb="FF000000"/>
      </left>
      <right style="medium">
        <color rgb="FF000000"/>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style="thin">
        <color auto="1"/>
      </left>
      <right style="medium">
        <color auto="1"/>
      </right>
      <top style="medium">
        <color auto="1"/>
      </top>
      <bottom style="medium">
        <color auto="1"/>
      </bottom>
      <diagonal/>
    </border>
    <border>
      <left/>
      <right style="medium">
        <color auto="1"/>
      </right>
      <top style="thin">
        <color auto="1"/>
      </top>
      <bottom/>
      <diagonal/>
    </border>
    <border>
      <left/>
      <right/>
      <top style="thin">
        <color auto="1"/>
      </top>
      <bottom style="medium">
        <color auto="1"/>
      </bottom>
      <diagonal/>
    </border>
    <border>
      <left style="thin">
        <color auto="1"/>
      </left>
      <right/>
      <top/>
      <bottom/>
      <diagonal/>
    </border>
    <border>
      <left style="medium">
        <color auto="1"/>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rgb="FF000000"/>
      </left>
      <right style="medium">
        <color rgb="FF000000"/>
      </right>
      <top/>
      <bottom style="thin">
        <color rgb="FF000000"/>
      </bottom>
      <diagonal/>
    </border>
    <border>
      <left style="medium">
        <color auto="1"/>
      </left>
      <right/>
      <top style="medium">
        <color auto="1"/>
      </top>
      <bottom/>
      <diagonal/>
    </border>
    <border>
      <left/>
      <right style="medium">
        <color indexed="64"/>
      </right>
      <top style="medium">
        <color indexed="64"/>
      </top>
      <bottom style="medium">
        <color indexed="64"/>
      </bottom>
      <diagonal/>
    </border>
  </borders>
  <cellStyleXfs count="7">
    <xf numFmtId="0" fontId="0" fillId="0" borderId="0"/>
    <xf numFmtId="43" fontId="54" fillId="0" borderId="0" applyFont="0" applyFill="0" applyBorder="0" applyAlignment="0" applyProtection="0"/>
    <xf numFmtId="167" fontId="54" fillId="0" borderId="0" applyFont="0" applyFill="0" applyBorder="0" applyAlignment="0" applyProtection="0"/>
    <xf numFmtId="9" fontId="54" fillId="0" borderId="0" applyFont="0" applyFill="0" applyBorder="0" applyAlignment="0" applyProtection="0"/>
    <xf numFmtId="9" fontId="54" fillId="0" borderId="0" applyFont="0" applyFill="0" applyBorder="0" applyAlignment="0" applyProtection="0"/>
    <xf numFmtId="166" fontId="54" fillId="0" borderId="0" applyFont="0" applyFill="0" applyBorder="0" applyAlignment="0" applyProtection="0"/>
    <xf numFmtId="0" fontId="39" fillId="0" borderId="0" applyNumberFormat="0" applyFill="0" applyBorder="0" applyAlignment="0" applyProtection="0">
      <alignment vertical="top"/>
      <protection locked="0"/>
    </xf>
  </cellStyleXfs>
  <cellXfs count="487">
    <xf numFmtId="0" fontId="0" fillId="0" borderId="0" xfId="0"/>
    <xf numFmtId="0" fontId="4" fillId="0" borderId="0" xfId="0" applyFont="1"/>
    <xf numFmtId="0" fontId="5" fillId="0" borderId="0" xfId="0" applyFont="1"/>
    <xf numFmtId="0" fontId="6" fillId="0" borderId="0" xfId="0" applyFont="1"/>
    <xf numFmtId="0" fontId="6" fillId="0" borderId="0" xfId="0" applyFont="1" applyAlignment="1">
      <alignment horizontal="center"/>
    </xf>
    <xf numFmtId="0" fontId="6" fillId="0" borderId="0" xfId="0" applyFont="1" applyAlignment="1">
      <alignment wrapText="1"/>
    </xf>
    <xf numFmtId="0" fontId="6" fillId="0" borderId="0" xfId="0" applyFont="1" applyAlignment="1">
      <alignment horizontal="center" vertical="center"/>
    </xf>
    <xf numFmtId="0" fontId="7" fillId="0" borderId="0" xfId="0" applyFont="1" applyAlignment="1">
      <alignment horizontal="center" vertical="center"/>
    </xf>
    <xf numFmtId="0" fontId="0" fillId="0" borderId="0" xfId="0" applyAlignment="1">
      <alignment horizontal="left" vertical="center"/>
    </xf>
    <xf numFmtId="0" fontId="9" fillId="0" borderId="0" xfId="0" applyFont="1" applyAlignment="1">
      <alignment horizontal="center"/>
    </xf>
    <xf numFmtId="0" fontId="0" fillId="0" borderId="0" xfId="0" applyAlignment="1">
      <alignment wrapText="1"/>
    </xf>
    <xf numFmtId="0" fontId="0" fillId="0" borderId="0" xfId="0" applyAlignment="1" applyProtection="1">
      <alignment wrapText="1"/>
      <protection locked="0"/>
    </xf>
    <xf numFmtId="0" fontId="0" fillId="0" borderId="0" xfId="0" applyAlignment="1" applyProtection="1">
      <alignment horizontal="center" vertical="center"/>
      <protection locked="0"/>
    </xf>
    <xf numFmtId="0" fontId="9" fillId="0" borderId="0" xfId="0" applyFont="1" applyAlignment="1">
      <alignment vertical="top"/>
    </xf>
    <xf numFmtId="0" fontId="9" fillId="0" borderId="0" xfId="0" applyFont="1" applyAlignment="1" applyProtection="1">
      <alignment vertical="top"/>
      <protection locked="0"/>
    </xf>
    <xf numFmtId="0" fontId="0" fillId="0" borderId="0" xfId="0" applyAlignment="1">
      <alignment vertical="center"/>
    </xf>
    <xf numFmtId="0" fontId="9" fillId="0" borderId="0" xfId="0" applyFont="1" applyAlignment="1" applyProtection="1">
      <alignment horizontal="left" vertical="top" wrapText="1"/>
      <protection locked="0"/>
    </xf>
    <xf numFmtId="168" fontId="9" fillId="0" borderId="0" xfId="0" applyNumberFormat="1" applyFont="1" applyAlignment="1" applyProtection="1">
      <alignment horizontal="left" vertical="top" wrapText="1"/>
      <protection locked="0"/>
    </xf>
    <xf numFmtId="0" fontId="0" fillId="0" borderId="0" xfId="0" applyAlignment="1" applyProtection="1">
      <alignment horizontal="center"/>
      <protection locked="0"/>
    </xf>
    <xf numFmtId="0" fontId="10" fillId="2" borderId="1" xfId="0" applyFont="1" applyFill="1" applyBorder="1" applyAlignment="1">
      <alignment horizontal="center" vertical="center" wrapText="1"/>
    </xf>
    <xf numFmtId="0" fontId="11" fillId="0" borderId="1" xfId="0" applyFont="1" applyBorder="1" applyAlignment="1">
      <alignment horizontal="center" vertical="top"/>
    </xf>
    <xf numFmtId="0" fontId="12" fillId="0" borderId="1" xfId="0" applyFont="1" applyBorder="1" applyAlignment="1">
      <alignment horizontal="left" vertical="top" wrapText="1"/>
    </xf>
    <xf numFmtId="0" fontId="13" fillId="0" borderId="1" xfId="0" applyFont="1" applyBorder="1" applyAlignment="1">
      <alignment horizontal="left" vertical="top"/>
    </xf>
    <xf numFmtId="2" fontId="13" fillId="0" borderId="1" xfId="0" applyNumberFormat="1" applyFont="1" applyBorder="1" applyAlignment="1">
      <alignment horizontal="center" vertical="top"/>
    </xf>
    <xf numFmtId="2" fontId="5" fillId="0" borderId="0" xfId="0" applyNumberFormat="1" applyFont="1"/>
    <xf numFmtId="2" fontId="5" fillId="0" borderId="1" xfId="0" applyNumberFormat="1" applyFont="1" applyBorder="1" applyAlignment="1">
      <alignment horizontal="center" vertical="top"/>
    </xf>
    <xf numFmtId="0" fontId="5" fillId="0" borderId="1" xfId="0" applyFont="1" applyBorder="1" applyAlignment="1">
      <alignment horizontal="center" vertical="top"/>
    </xf>
    <xf numFmtId="0" fontId="11" fillId="0" borderId="1" xfId="0" applyFont="1" applyBorder="1" applyAlignment="1">
      <alignment horizontal="left" vertical="top"/>
    </xf>
    <xf numFmtId="2" fontId="11" fillId="0" borderId="1" xfId="0" applyNumberFormat="1" applyFont="1" applyBorder="1" applyAlignment="1">
      <alignment horizontal="center" vertical="top"/>
    </xf>
    <xf numFmtId="0" fontId="11" fillId="0" borderId="1" xfId="0" applyFont="1" applyBorder="1" applyAlignment="1">
      <alignment vertical="top" wrapText="1"/>
    </xf>
    <xf numFmtId="0" fontId="11" fillId="0" borderId="1" xfId="0" applyFont="1" applyBorder="1" applyAlignment="1">
      <alignment horizontal="left" vertical="top" wrapText="1"/>
    </xf>
    <xf numFmtId="0" fontId="5" fillId="0" borderId="1" xfId="0" applyFont="1" applyBorder="1" applyAlignment="1">
      <alignment horizontal="left" vertical="top"/>
    </xf>
    <xf numFmtId="0" fontId="11" fillId="3" borderId="1" xfId="0" applyFont="1" applyFill="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vertical="top" wrapText="1"/>
    </xf>
    <xf numFmtId="2" fontId="5" fillId="0" borderId="1" xfId="0" applyNumberFormat="1" applyFont="1" applyBorder="1" applyAlignment="1" applyProtection="1">
      <alignment horizontal="center" vertical="top"/>
      <protection locked="0"/>
    </xf>
    <xf numFmtId="2" fontId="13" fillId="0" borderId="1" xfId="0" applyNumberFormat="1" applyFont="1" applyBorder="1" applyAlignment="1" applyProtection="1">
      <alignment horizontal="center" vertical="top"/>
      <protection locked="0"/>
    </xf>
    <xf numFmtId="0" fontId="5" fillId="0" borderId="1" xfId="0" applyFont="1" applyBorder="1" applyAlignment="1" applyProtection="1">
      <alignment horizontal="left" vertical="top"/>
      <protection locked="0"/>
    </xf>
    <xf numFmtId="0" fontId="13" fillId="0" borderId="1" xfId="0" applyFont="1" applyBorder="1" applyAlignment="1" applyProtection="1">
      <alignment horizontal="left" vertical="top"/>
      <protection locked="0"/>
    </xf>
    <xf numFmtId="0" fontId="7" fillId="0" borderId="0" xfId="0" applyFont="1" applyAlignment="1">
      <alignment vertical="center"/>
    </xf>
    <xf numFmtId="0" fontId="0" fillId="0" borderId="0" xfId="0" applyAlignment="1">
      <alignment horizontal="center" vertical="center"/>
    </xf>
    <xf numFmtId="0" fontId="15" fillId="5" borderId="1" xfId="0" applyFont="1" applyFill="1" applyBorder="1" applyAlignment="1">
      <alignment horizontal="left" vertical="top" wrapText="1"/>
    </xf>
    <xf numFmtId="0" fontId="16" fillId="5" borderId="1" xfId="0" applyFont="1" applyFill="1" applyBorder="1" applyAlignment="1">
      <alignment horizontal="left" vertical="top" wrapText="1"/>
    </xf>
    <xf numFmtId="0" fontId="0" fillId="0" borderId="0" xfId="0" applyAlignment="1">
      <alignment horizontal="center"/>
    </xf>
    <xf numFmtId="0" fontId="0" fillId="0" borderId="0" xfId="0" applyAlignment="1">
      <alignment horizontal="left" vertical="top" wrapText="1"/>
    </xf>
    <xf numFmtId="0" fontId="0" fillId="0" borderId="0" xfId="0" applyAlignment="1" applyProtection="1">
      <alignment horizontal="left" vertical="top" wrapText="1"/>
      <protection locked="0"/>
    </xf>
    <xf numFmtId="0" fontId="9" fillId="0" borderId="0" xfId="0" applyFont="1" applyAlignment="1" applyProtection="1">
      <alignment horizontal="center" vertical="top" wrapText="1"/>
      <protection locked="0"/>
    </xf>
    <xf numFmtId="0" fontId="0" fillId="0" borderId="0" xfId="0" applyAlignment="1">
      <alignment horizontal="center" vertical="top" wrapText="1"/>
    </xf>
    <xf numFmtId="0" fontId="17" fillId="0" borderId="0" xfId="0" applyFont="1" applyAlignment="1">
      <alignment vertical="center"/>
    </xf>
    <xf numFmtId="0" fontId="18" fillId="0" borderId="0" xfId="0" applyFont="1" applyAlignment="1">
      <alignment horizontal="center" vertical="center"/>
    </xf>
    <xf numFmtId="0" fontId="18" fillId="7" borderId="0" xfId="0" applyFont="1" applyFill="1" applyAlignment="1">
      <alignment vertical="center"/>
    </xf>
    <xf numFmtId="0" fontId="19" fillId="0" borderId="0" xfId="0" applyFont="1" applyAlignment="1">
      <alignment horizontal="center" vertical="center"/>
    </xf>
    <xf numFmtId="0" fontId="20" fillId="0" borderId="0" xfId="0" applyFont="1" applyAlignment="1">
      <alignment horizontal="center" vertical="center"/>
    </xf>
    <xf numFmtId="0" fontId="14" fillId="8" borderId="4"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8" borderId="7" xfId="0" applyFont="1" applyFill="1" applyBorder="1" applyAlignment="1">
      <alignment horizontal="center" vertical="center" wrapText="1"/>
    </xf>
    <xf numFmtId="0" fontId="14" fillId="8" borderId="8" xfId="0" applyFont="1" applyFill="1" applyBorder="1" applyAlignment="1">
      <alignment horizontal="center" vertical="center" wrapText="1"/>
    </xf>
    <xf numFmtId="2" fontId="0" fillId="9" borderId="13" xfId="0" applyNumberFormat="1" applyFill="1" applyBorder="1" applyAlignment="1">
      <alignment horizontal="center" vertical="center"/>
    </xf>
    <xf numFmtId="0" fontId="9" fillId="10" borderId="14" xfId="0" applyFont="1" applyFill="1" applyBorder="1" applyAlignment="1" applyProtection="1">
      <alignment horizontal="left" vertical="top" wrapText="1"/>
      <protection locked="0"/>
    </xf>
    <xf numFmtId="0" fontId="9" fillId="0" borderId="1" xfId="0" applyFont="1" applyBorder="1" applyAlignment="1">
      <alignment horizontal="center" vertical="center" wrapText="1"/>
    </xf>
    <xf numFmtId="0" fontId="17" fillId="0" borderId="1" xfId="0" applyFont="1" applyBorder="1" applyAlignment="1">
      <alignment vertical="center" wrapText="1"/>
    </xf>
    <xf numFmtId="1" fontId="0" fillId="0" borderId="17" xfId="0" applyNumberFormat="1" applyBorder="1" applyAlignment="1" applyProtection="1">
      <alignment horizontal="center" vertical="center"/>
      <protection locked="0"/>
    </xf>
    <xf numFmtId="2" fontId="0" fillId="0" borderId="17" xfId="0" applyNumberFormat="1" applyBorder="1" applyAlignment="1" applyProtection="1">
      <alignment horizontal="center" vertical="center"/>
      <protection locked="0"/>
    </xf>
    <xf numFmtId="2" fontId="0" fillId="3" borderId="22" xfId="0" applyNumberFormat="1" applyFill="1" applyBorder="1" applyAlignment="1">
      <alignment horizontal="center" vertical="center"/>
    </xf>
    <xf numFmtId="0" fontId="21" fillId="0" borderId="23" xfId="0" applyFont="1" applyBorder="1" applyAlignment="1">
      <alignment horizontal="center" vertical="center"/>
    </xf>
    <xf numFmtId="0" fontId="9" fillId="0" borderId="23" xfId="0" applyFont="1" applyBorder="1" applyAlignment="1">
      <alignment horizontal="left" vertical="center"/>
    </xf>
    <xf numFmtId="0" fontId="17" fillId="0" borderId="23" xfId="0" applyFont="1" applyBorder="1" applyAlignment="1">
      <alignment horizontal="left" vertical="center"/>
    </xf>
    <xf numFmtId="2" fontId="0" fillId="0" borderId="23" xfId="0" applyNumberFormat="1" applyBorder="1" applyAlignment="1">
      <alignment horizontal="center" vertical="center"/>
    </xf>
    <xf numFmtId="0" fontId="9" fillId="0" borderId="2" xfId="0" applyFont="1" applyBorder="1" applyAlignment="1">
      <alignment horizontal="center" vertical="center" wrapText="1"/>
    </xf>
    <xf numFmtId="0" fontId="17" fillId="5" borderId="1" xfId="0" applyFont="1" applyFill="1" applyBorder="1" applyAlignment="1">
      <alignment vertical="top" wrapText="1"/>
    </xf>
    <xf numFmtId="1" fontId="0" fillId="0" borderId="25" xfId="0" applyNumberFormat="1" applyBorder="1" applyAlignment="1" applyProtection="1">
      <alignment horizontal="center" vertical="center"/>
      <protection locked="0"/>
    </xf>
    <xf numFmtId="2" fontId="0" fillId="0" borderId="25" xfId="0" applyNumberFormat="1" applyBorder="1" applyAlignment="1" applyProtection="1">
      <alignment horizontal="center" vertical="center"/>
      <protection locked="0"/>
    </xf>
    <xf numFmtId="0" fontId="9" fillId="0" borderId="26" xfId="0" applyFont="1" applyBorder="1" applyAlignment="1">
      <alignment horizontal="left" vertical="center" wrapText="1"/>
    </xf>
    <xf numFmtId="2" fontId="0" fillId="9" borderId="28" xfId="0" applyNumberFormat="1" applyFill="1" applyBorder="1" applyAlignment="1">
      <alignment horizontal="center" vertical="center"/>
    </xf>
    <xf numFmtId="0" fontId="17" fillId="0" borderId="1" xfId="0" applyFont="1" applyBorder="1" applyAlignment="1">
      <alignment vertical="top" wrapText="1"/>
    </xf>
    <xf numFmtId="2" fontId="0" fillId="3" borderId="35" xfId="0" applyNumberFormat="1" applyFill="1" applyBorder="1" applyAlignment="1">
      <alignment horizontal="center" vertical="center"/>
    </xf>
    <xf numFmtId="0" fontId="9" fillId="0" borderId="36" xfId="0" applyFont="1" applyBorder="1" applyAlignment="1">
      <alignment horizontal="left" vertical="center"/>
    </xf>
    <xf numFmtId="0" fontId="17" fillId="0" borderId="36" xfId="0" applyFont="1" applyBorder="1" applyAlignment="1">
      <alignment horizontal="left" vertical="center"/>
    </xf>
    <xf numFmtId="2" fontId="0" fillId="0" borderId="13" xfId="0" applyNumberFormat="1" applyBorder="1" applyAlignment="1" applyProtection="1">
      <alignment horizontal="center" vertical="center"/>
      <protection locked="0"/>
    </xf>
    <xf numFmtId="1" fontId="0" fillId="11" borderId="38" xfId="0" applyNumberFormat="1" applyFill="1" applyBorder="1" applyAlignment="1">
      <alignment horizontal="center" vertical="center"/>
    </xf>
    <xf numFmtId="1" fontId="0" fillId="0" borderId="0" xfId="0" applyNumberFormat="1" applyAlignment="1">
      <alignment vertical="center"/>
    </xf>
    <xf numFmtId="2" fontId="0" fillId="12" borderId="40" xfId="3" applyNumberFormat="1" applyFont="1" applyFill="1" applyBorder="1" applyAlignment="1">
      <alignment horizontal="center" vertical="center"/>
    </xf>
    <xf numFmtId="0" fontId="0" fillId="0" borderId="0" xfId="0" applyAlignment="1">
      <alignment horizontal="right" vertical="center"/>
    </xf>
    <xf numFmtId="0" fontId="22" fillId="13" borderId="1" xfId="0" applyFont="1" applyFill="1" applyBorder="1" applyAlignment="1">
      <alignment horizontal="left" vertical="center" wrapText="1"/>
    </xf>
    <xf numFmtId="2" fontId="22" fillId="13" borderId="17" xfId="3" applyNumberFormat="1" applyFont="1" applyFill="1" applyBorder="1" applyAlignment="1">
      <alignment horizontal="center" vertical="center"/>
    </xf>
    <xf numFmtId="10" fontId="0" fillId="0" borderId="0" xfId="3" applyNumberFormat="1" applyFont="1" applyAlignment="1">
      <alignment vertical="center"/>
    </xf>
    <xf numFmtId="2" fontId="0" fillId="0" borderId="41" xfId="0" applyNumberFormat="1" applyBorder="1" applyAlignment="1">
      <alignment horizontal="center" vertical="center"/>
    </xf>
    <xf numFmtId="1" fontId="0" fillId="11" borderId="42" xfId="0" applyNumberFormat="1" applyFill="1" applyBorder="1" applyAlignment="1">
      <alignment horizontal="center" vertical="center"/>
    </xf>
    <xf numFmtId="1" fontId="22" fillId="13" borderId="1" xfId="0" applyNumberFormat="1" applyFont="1" applyFill="1" applyBorder="1" applyAlignment="1">
      <alignment horizontal="left" vertical="center"/>
    </xf>
    <xf numFmtId="0" fontId="22" fillId="13" borderId="43" xfId="0" applyFont="1" applyFill="1" applyBorder="1" applyAlignment="1">
      <alignment horizontal="left" vertical="center" wrapText="1"/>
    </xf>
    <xf numFmtId="0" fontId="22" fillId="13" borderId="44" xfId="0" applyFont="1" applyFill="1" applyBorder="1" applyAlignment="1">
      <alignment horizontal="left" vertical="center" wrapText="1"/>
    </xf>
    <xf numFmtId="0" fontId="22" fillId="13" borderId="17" xfId="0" applyFont="1" applyFill="1" applyBorder="1" applyAlignment="1">
      <alignment horizontal="center" vertical="center"/>
    </xf>
    <xf numFmtId="0" fontId="23" fillId="0" borderId="0" xfId="0" applyFont="1" applyAlignment="1">
      <alignment vertical="center" wrapText="1"/>
    </xf>
    <xf numFmtId="2" fontId="0" fillId="13" borderId="17" xfId="0" applyNumberFormat="1" applyFill="1" applyBorder="1" applyAlignment="1">
      <alignment horizontal="center" vertical="center"/>
    </xf>
    <xf numFmtId="2" fontId="0" fillId="3" borderId="46" xfId="0" applyNumberFormat="1" applyFill="1" applyBorder="1" applyAlignment="1">
      <alignment horizontal="center" vertical="center"/>
    </xf>
    <xf numFmtId="0" fontId="9" fillId="0" borderId="0" xfId="0" applyFont="1" applyAlignment="1">
      <alignment horizontal="left" vertical="center"/>
    </xf>
    <xf numFmtId="0" fontId="17" fillId="0" borderId="0" xfId="0" applyFont="1" applyAlignment="1">
      <alignment horizontal="left" vertical="center"/>
    </xf>
    <xf numFmtId="0" fontId="9" fillId="0" borderId="0" xfId="0" applyFont="1" applyAlignment="1">
      <alignment horizontal="left" vertical="top"/>
    </xf>
    <xf numFmtId="2" fontId="0" fillId="0" borderId="13" xfId="0" applyNumberFormat="1" applyBorder="1" applyAlignment="1">
      <alignment horizontal="center" vertical="center"/>
    </xf>
    <xf numFmtId="0" fontId="9" fillId="0" borderId="2" xfId="0" applyFont="1" applyBorder="1" applyAlignment="1">
      <alignment horizontal="center" vertical="center"/>
    </xf>
    <xf numFmtId="0" fontId="9" fillId="0" borderId="47" xfId="0" applyFont="1" applyBorder="1" applyAlignment="1">
      <alignment horizontal="left" vertical="center" wrapText="1"/>
    </xf>
    <xf numFmtId="2" fontId="0" fillId="9" borderId="40" xfId="0" applyNumberFormat="1" applyFill="1" applyBorder="1" applyAlignment="1" applyProtection="1">
      <alignment horizontal="center" vertical="center"/>
      <protection locked="0"/>
    </xf>
    <xf numFmtId="0" fontId="9" fillId="13" borderId="2" xfId="0" applyFont="1" applyFill="1" applyBorder="1" applyAlignment="1">
      <alignment horizontal="center" vertical="center"/>
    </xf>
    <xf numFmtId="0" fontId="22" fillId="13" borderId="47" xfId="0" applyFont="1" applyFill="1" applyBorder="1" applyAlignment="1">
      <alignment horizontal="left" vertical="center" wrapText="1"/>
    </xf>
    <xf numFmtId="2" fontId="22" fillId="13" borderId="40" xfId="0" applyNumberFormat="1" applyFont="1" applyFill="1" applyBorder="1" applyAlignment="1" applyProtection="1">
      <alignment horizontal="center" vertical="center"/>
      <protection locked="0"/>
    </xf>
    <xf numFmtId="0" fontId="17" fillId="13" borderId="1" xfId="0" applyFont="1" applyFill="1" applyBorder="1" applyAlignment="1">
      <alignment vertical="top"/>
    </xf>
    <xf numFmtId="2" fontId="0" fillId="13" borderId="25" xfId="0" applyNumberFormat="1" applyFill="1" applyBorder="1" applyAlignment="1" applyProtection="1">
      <alignment horizontal="center" vertical="center"/>
      <protection locked="0"/>
    </xf>
    <xf numFmtId="0" fontId="7" fillId="0" borderId="25" xfId="0" applyFont="1" applyBorder="1" applyAlignment="1">
      <alignment vertical="center" wrapText="1"/>
    </xf>
    <xf numFmtId="2" fontId="0" fillId="0" borderId="0" xfId="0" applyNumberFormat="1" applyAlignment="1">
      <alignment vertical="center"/>
    </xf>
    <xf numFmtId="0" fontId="22" fillId="13" borderId="2" xfId="0" applyFont="1" applyFill="1" applyBorder="1" applyAlignment="1">
      <alignment horizontal="left" vertical="center" wrapText="1"/>
    </xf>
    <xf numFmtId="0" fontId="22" fillId="13" borderId="39" xfId="0" applyFont="1" applyFill="1" applyBorder="1" applyAlignment="1">
      <alignment horizontal="left" vertical="center" wrapText="1"/>
    </xf>
    <xf numFmtId="2" fontId="22" fillId="13" borderId="40" xfId="3" applyNumberFormat="1" applyFont="1" applyFill="1" applyBorder="1" applyAlignment="1">
      <alignment horizontal="center" vertical="center"/>
    </xf>
    <xf numFmtId="2" fontId="0" fillId="3" borderId="31" xfId="0" applyNumberFormat="1" applyFill="1" applyBorder="1" applyAlignment="1">
      <alignment horizontal="center" vertical="center"/>
    </xf>
    <xf numFmtId="2" fontId="0" fillId="0" borderId="40" xfId="0" applyNumberFormat="1" applyBorder="1" applyAlignment="1" applyProtection="1">
      <alignment horizontal="center" vertical="center"/>
      <protection locked="0"/>
    </xf>
    <xf numFmtId="0" fontId="9" fillId="0" borderId="43" xfId="0" applyFont="1" applyBorder="1" applyAlignment="1">
      <alignment horizontal="center" vertical="center" wrapText="1"/>
    </xf>
    <xf numFmtId="0" fontId="17" fillId="5" borderId="30" xfId="0" applyFont="1" applyFill="1" applyBorder="1" applyAlignment="1">
      <alignment vertical="top" wrapText="1"/>
    </xf>
    <xf numFmtId="2" fontId="0" fillId="0" borderId="41" xfId="0" applyNumberFormat="1" applyBorder="1" applyAlignment="1" applyProtection="1">
      <alignment horizontal="center" vertical="center"/>
      <protection locked="0"/>
    </xf>
    <xf numFmtId="2" fontId="0" fillId="3" borderId="48" xfId="0" applyNumberFormat="1" applyFill="1" applyBorder="1" applyAlignment="1">
      <alignment horizontal="center" vertical="center"/>
    </xf>
    <xf numFmtId="2" fontId="0" fillId="0" borderId="0" xfId="3" applyNumberFormat="1" applyFont="1" applyAlignment="1">
      <alignment vertical="center"/>
    </xf>
    <xf numFmtId="2" fontId="0" fillId="0" borderId="49" xfId="0" applyNumberFormat="1" applyBorder="1" applyAlignment="1" applyProtection="1">
      <alignment horizontal="center" vertical="center"/>
      <protection locked="0"/>
    </xf>
    <xf numFmtId="2" fontId="17" fillId="0" borderId="25" xfId="0" applyNumberFormat="1" applyFont="1" applyBorder="1" applyAlignment="1" applyProtection="1">
      <alignment horizontal="center" vertical="center"/>
      <protection locked="0"/>
    </xf>
    <xf numFmtId="165" fontId="17" fillId="12" borderId="40" xfId="3" applyNumberFormat="1" applyFont="1" applyFill="1" applyBorder="1" applyAlignment="1">
      <alignment horizontal="center" vertical="center"/>
    </xf>
    <xf numFmtId="9" fontId="22" fillId="13" borderId="39" xfId="3" applyFont="1" applyFill="1" applyBorder="1" applyAlignment="1">
      <alignment horizontal="left" vertical="center" wrapText="1"/>
    </xf>
    <xf numFmtId="2" fontId="17" fillId="3" borderId="31" xfId="0" applyNumberFormat="1" applyFont="1" applyFill="1" applyBorder="1" applyAlignment="1">
      <alignment horizontal="center" vertical="center"/>
    </xf>
    <xf numFmtId="0" fontId="17" fillId="5" borderId="1" xfId="0" applyFont="1" applyFill="1" applyBorder="1" applyAlignment="1">
      <alignment wrapText="1"/>
    </xf>
    <xf numFmtId="2" fontId="0" fillId="9" borderId="17" xfId="0" applyNumberFormat="1" applyFill="1" applyBorder="1" applyAlignment="1">
      <alignment horizontal="center" vertical="center"/>
    </xf>
    <xf numFmtId="1" fontId="22" fillId="13" borderId="17" xfId="3" applyNumberFormat="1" applyFont="1" applyFill="1" applyBorder="1" applyAlignment="1">
      <alignment horizontal="center" vertical="center"/>
    </xf>
    <xf numFmtId="165" fontId="0" fillId="12" borderId="40" xfId="3" applyNumberFormat="1" applyFont="1" applyFill="1" applyBorder="1" applyAlignment="1">
      <alignment horizontal="center" vertical="center"/>
    </xf>
    <xf numFmtId="9" fontId="22" fillId="13" borderId="44" xfId="0" applyNumberFormat="1" applyFont="1" applyFill="1" applyBorder="1" applyAlignment="1">
      <alignment horizontal="left" vertical="center" wrapText="1"/>
    </xf>
    <xf numFmtId="165" fontId="22" fillId="13" borderId="41" xfId="3" applyNumberFormat="1" applyFont="1" applyFill="1" applyBorder="1" applyAlignment="1">
      <alignment horizontal="center" vertical="center"/>
    </xf>
    <xf numFmtId="2" fontId="0" fillId="13" borderId="13" xfId="0" applyNumberFormat="1" applyFill="1" applyBorder="1" applyAlignment="1" applyProtection="1">
      <alignment horizontal="center" vertical="center"/>
      <protection locked="0"/>
    </xf>
    <xf numFmtId="1" fontId="0" fillId="13" borderId="40" xfId="3" applyNumberFormat="1" applyFont="1" applyFill="1" applyBorder="1" applyAlignment="1">
      <alignment horizontal="center" vertical="center"/>
    </xf>
    <xf numFmtId="165" fontId="0" fillId="13" borderId="40" xfId="3" applyNumberFormat="1" applyFont="1" applyFill="1" applyBorder="1" applyAlignment="1">
      <alignment horizontal="center" vertical="center"/>
    </xf>
    <xf numFmtId="2" fontId="0" fillId="13" borderId="22" xfId="0" applyNumberFormat="1" applyFill="1" applyBorder="1" applyAlignment="1">
      <alignment horizontal="center" vertical="center"/>
    </xf>
    <xf numFmtId="0" fontId="22" fillId="13" borderId="26" xfId="0" applyFont="1" applyFill="1" applyBorder="1" applyAlignment="1">
      <alignment horizontal="left" vertical="center" wrapText="1"/>
    </xf>
    <xf numFmtId="1" fontId="0" fillId="0" borderId="0" xfId="0" applyNumberFormat="1" applyAlignment="1">
      <alignment horizontal="right" vertical="center"/>
    </xf>
    <xf numFmtId="2" fontId="0" fillId="0" borderId="0" xfId="3" applyNumberFormat="1" applyFont="1" applyAlignment="1">
      <alignment horizontal="right" vertical="center"/>
    </xf>
    <xf numFmtId="2" fontId="22" fillId="13" borderId="31" xfId="3" applyNumberFormat="1" applyFont="1" applyFill="1" applyBorder="1" applyAlignment="1">
      <alignment horizontal="center" vertical="center"/>
    </xf>
    <xf numFmtId="2" fontId="17" fillId="3" borderId="17" xfId="3" applyNumberFormat="1" applyFont="1" applyFill="1" applyBorder="1" applyAlignment="1">
      <alignment horizontal="center" vertical="center"/>
    </xf>
    <xf numFmtId="2" fontId="0" fillId="11" borderId="38" xfId="0" applyNumberFormat="1" applyFill="1" applyBorder="1" applyAlignment="1">
      <alignment horizontal="center" vertical="center"/>
    </xf>
    <xf numFmtId="0" fontId="22" fillId="13" borderId="1" xfId="0" applyFont="1" applyFill="1" applyBorder="1" applyAlignment="1">
      <alignment vertical="center"/>
    </xf>
    <xf numFmtId="9" fontId="22" fillId="13" borderId="1" xfId="0" applyNumberFormat="1" applyFont="1" applyFill="1" applyBorder="1" applyAlignment="1">
      <alignment horizontal="left" vertical="center" wrapText="1"/>
    </xf>
    <xf numFmtId="2" fontId="22" fillId="13" borderId="1" xfId="0" applyNumberFormat="1" applyFont="1" applyFill="1" applyBorder="1" applyAlignment="1">
      <alignment horizontal="left" vertical="center" wrapText="1"/>
    </xf>
    <xf numFmtId="0" fontId="0" fillId="0" borderId="13" xfId="0" applyBorder="1" applyAlignment="1">
      <alignment horizontal="center" vertical="center"/>
    </xf>
    <xf numFmtId="2" fontId="22" fillId="13" borderId="1" xfId="0" applyNumberFormat="1" applyFont="1" applyFill="1" applyBorder="1" applyAlignment="1">
      <alignment horizontal="left" vertical="center"/>
    </xf>
    <xf numFmtId="2" fontId="17" fillId="0" borderId="13" xfId="0" applyNumberFormat="1" applyFont="1" applyBorder="1" applyAlignment="1" applyProtection="1">
      <alignment horizontal="center" vertical="center"/>
      <protection locked="0"/>
    </xf>
    <xf numFmtId="2" fontId="17" fillId="12" borderId="40" xfId="3" applyNumberFormat="1" applyFont="1" applyFill="1" applyBorder="1" applyAlignment="1">
      <alignment horizontal="center" vertical="center"/>
    </xf>
    <xf numFmtId="2" fontId="22" fillId="13" borderId="41" xfId="3" applyNumberFormat="1" applyFont="1" applyFill="1" applyBorder="1" applyAlignment="1">
      <alignment horizontal="center" vertical="center"/>
    </xf>
    <xf numFmtId="2" fontId="17" fillId="3" borderId="22" xfId="0" applyNumberFormat="1" applyFont="1" applyFill="1" applyBorder="1" applyAlignment="1">
      <alignment horizontal="center" vertical="center"/>
    </xf>
    <xf numFmtId="2" fontId="17" fillId="13" borderId="13" xfId="0" applyNumberFormat="1" applyFont="1" applyFill="1" applyBorder="1" applyAlignment="1" applyProtection="1">
      <alignment horizontal="center" vertical="center"/>
      <protection locked="0"/>
    </xf>
    <xf numFmtId="1" fontId="17" fillId="13" borderId="40" xfId="3" applyNumberFormat="1" applyFont="1" applyFill="1" applyBorder="1" applyAlignment="1">
      <alignment horizontal="center" vertical="center"/>
    </xf>
    <xf numFmtId="2" fontId="17" fillId="13" borderId="40" xfId="3" applyNumberFormat="1" applyFont="1" applyFill="1" applyBorder="1" applyAlignment="1">
      <alignment horizontal="center" vertical="center"/>
    </xf>
    <xf numFmtId="2" fontId="0" fillId="3" borderId="28" xfId="0" applyNumberFormat="1" applyFill="1" applyBorder="1" applyAlignment="1">
      <alignment horizontal="center" vertical="center"/>
    </xf>
    <xf numFmtId="164" fontId="0" fillId="11" borderId="38" xfId="0" applyNumberFormat="1" applyFill="1" applyBorder="1" applyAlignment="1">
      <alignment horizontal="right" vertical="center"/>
    </xf>
    <xf numFmtId="167" fontId="0" fillId="12" borderId="40" xfId="2" applyFont="1" applyFill="1" applyBorder="1" applyAlignment="1">
      <alignment horizontal="right" vertical="center"/>
    </xf>
    <xf numFmtId="43" fontId="22" fillId="13" borderId="41" xfId="1" applyFont="1" applyFill="1" applyBorder="1" applyAlignment="1">
      <alignment horizontal="center" vertical="center"/>
    </xf>
    <xf numFmtId="0" fontId="17" fillId="0" borderId="1" xfId="0" applyFont="1" applyBorder="1" applyAlignment="1">
      <alignment wrapText="1"/>
    </xf>
    <xf numFmtId="0" fontId="24" fillId="0" borderId="0" xfId="0" applyFont="1" applyAlignment="1">
      <alignment vertical="top"/>
    </xf>
    <xf numFmtId="0" fontId="17" fillId="14" borderId="2" xfId="0" applyFont="1" applyFill="1" applyBorder="1" applyAlignment="1">
      <alignment horizontal="center" vertical="center" wrapText="1"/>
    </xf>
    <xf numFmtId="0" fontId="17" fillId="14" borderId="1" xfId="0" applyFont="1" applyFill="1" applyBorder="1" applyAlignment="1">
      <alignment vertical="top" wrapText="1"/>
    </xf>
    <xf numFmtId="1" fontId="17" fillId="14" borderId="25" xfId="0" applyNumberFormat="1" applyFont="1" applyFill="1" applyBorder="1" applyAlignment="1" applyProtection="1">
      <alignment horizontal="center" vertical="center"/>
      <protection locked="0"/>
    </xf>
    <xf numFmtId="9" fontId="0" fillId="12" borderId="40" xfId="3" applyFont="1" applyFill="1" applyBorder="1" applyAlignment="1">
      <alignment horizontal="center" vertical="center"/>
    </xf>
    <xf numFmtId="2" fontId="0" fillId="13" borderId="28" xfId="0" applyNumberFormat="1" applyFill="1" applyBorder="1" applyAlignment="1">
      <alignment horizontal="center" vertical="center"/>
    </xf>
    <xf numFmtId="0" fontId="9" fillId="13" borderId="2" xfId="0" applyFont="1" applyFill="1" applyBorder="1" applyAlignment="1">
      <alignment horizontal="center" vertical="center" wrapText="1"/>
    </xf>
    <xf numFmtId="0" fontId="17" fillId="13" borderId="1" xfId="0" applyFont="1" applyFill="1" applyBorder="1" applyAlignment="1">
      <alignment vertical="top" wrapText="1"/>
    </xf>
    <xf numFmtId="1" fontId="0" fillId="13" borderId="25" xfId="0" applyNumberFormat="1" applyFill="1" applyBorder="1" applyAlignment="1" applyProtection="1">
      <alignment horizontal="center" vertical="center"/>
      <protection locked="0"/>
    </xf>
    <xf numFmtId="0" fontId="17" fillId="13" borderId="30" xfId="0" applyFont="1" applyFill="1" applyBorder="1" applyAlignment="1">
      <alignment vertical="top" wrapText="1"/>
    </xf>
    <xf numFmtId="1" fontId="0" fillId="13" borderId="49" xfId="0" applyNumberFormat="1" applyFill="1" applyBorder="1" applyAlignment="1" applyProtection="1">
      <alignment horizontal="center" vertical="center"/>
      <protection locked="0"/>
    </xf>
    <xf numFmtId="0" fontId="17" fillId="13" borderId="1" xfId="0" applyFont="1" applyFill="1" applyBorder="1" applyAlignment="1">
      <alignment vertical="center" wrapText="1"/>
    </xf>
    <xf numFmtId="1" fontId="0" fillId="13" borderId="17" xfId="0" applyNumberFormat="1" applyFill="1" applyBorder="1" applyAlignment="1" applyProtection="1">
      <alignment vertical="center"/>
      <protection locked="0"/>
    </xf>
    <xf numFmtId="0" fontId="9" fillId="13" borderId="1" xfId="0" applyFont="1" applyFill="1" applyBorder="1" applyAlignment="1">
      <alignment horizontal="left" vertical="center" wrapText="1"/>
    </xf>
    <xf numFmtId="1" fontId="0" fillId="13" borderId="17" xfId="3" applyNumberFormat="1" applyFont="1" applyFill="1" applyBorder="1" applyAlignment="1">
      <alignment horizontal="center" vertical="center"/>
    </xf>
    <xf numFmtId="43" fontId="22" fillId="13" borderId="17" xfId="1" applyFont="1" applyFill="1" applyBorder="1" applyAlignment="1">
      <alignment horizontal="center" vertical="center"/>
    </xf>
    <xf numFmtId="0" fontId="17" fillId="0" borderId="39" xfId="0" applyFont="1" applyBorder="1" applyAlignment="1">
      <alignment horizontal="left" vertical="center"/>
    </xf>
    <xf numFmtId="165" fontId="0" fillId="11" borderId="38" xfId="0" applyNumberFormat="1" applyFill="1" applyBorder="1" applyAlignment="1">
      <alignment horizontal="center" vertical="center"/>
    </xf>
    <xf numFmtId="0" fontId="17" fillId="0" borderId="39" xfId="0" applyFont="1" applyBorder="1" applyAlignment="1">
      <alignment horizontal="right" vertical="center"/>
    </xf>
    <xf numFmtId="165" fontId="0" fillId="3" borderId="40" xfId="3" applyNumberFormat="1" applyFont="1" applyFill="1" applyBorder="1" applyAlignment="1">
      <alignment horizontal="center" vertical="center"/>
    </xf>
    <xf numFmtId="0" fontId="22" fillId="13" borderId="2" xfId="0" applyFont="1" applyFill="1" applyBorder="1" applyAlignment="1">
      <alignment horizontal="right" vertical="center" wrapText="1"/>
    </xf>
    <xf numFmtId="9" fontId="22" fillId="13" borderId="39" xfId="0" applyNumberFormat="1" applyFont="1" applyFill="1" applyBorder="1" applyAlignment="1">
      <alignment horizontal="left" vertical="center" wrapText="1"/>
    </xf>
    <xf numFmtId="165" fontId="22" fillId="13" borderId="40" xfId="3" applyNumberFormat="1" applyFont="1" applyFill="1" applyBorder="1" applyAlignment="1">
      <alignment horizontal="center" vertical="center"/>
    </xf>
    <xf numFmtId="2" fontId="0" fillId="3" borderId="40" xfId="0" applyNumberFormat="1" applyFill="1" applyBorder="1" applyAlignment="1">
      <alignment horizontal="center" vertical="center"/>
    </xf>
    <xf numFmtId="0" fontId="0" fillId="13" borderId="13" xfId="0" applyFill="1" applyBorder="1" applyAlignment="1">
      <alignment horizontal="center" vertical="center"/>
    </xf>
    <xf numFmtId="1" fontId="0" fillId="11" borderId="42" xfId="0" applyNumberFormat="1" applyFill="1" applyBorder="1" applyAlignment="1" applyProtection="1">
      <alignment horizontal="center" vertical="center"/>
      <protection locked="0"/>
    </xf>
    <xf numFmtId="2" fontId="0" fillId="11" borderId="42" xfId="0" applyNumberFormat="1" applyFill="1" applyBorder="1" applyAlignment="1" applyProtection="1">
      <alignment horizontal="center" vertical="center"/>
      <protection locked="0"/>
    </xf>
    <xf numFmtId="0" fontId="17" fillId="0" borderId="43" xfId="0" applyFont="1" applyBorder="1" applyAlignment="1">
      <alignment horizontal="left" vertical="center"/>
    </xf>
    <xf numFmtId="0" fontId="17" fillId="0" borderId="44" xfId="0" applyFont="1" applyBorder="1" applyAlignment="1">
      <alignment horizontal="left" vertical="top" wrapText="1"/>
    </xf>
    <xf numFmtId="2" fontId="0" fillId="12" borderId="31" xfId="0" applyNumberFormat="1" applyFill="1" applyBorder="1" applyAlignment="1" applyProtection="1">
      <alignment horizontal="center" vertical="center"/>
      <protection locked="0"/>
    </xf>
    <xf numFmtId="0" fontId="22" fillId="13" borderId="43" xfId="0" applyFont="1" applyFill="1" applyBorder="1" applyAlignment="1">
      <alignment horizontal="left" vertical="top"/>
    </xf>
    <xf numFmtId="2" fontId="22" fillId="13" borderId="44" xfId="0" applyNumberFormat="1" applyFont="1" applyFill="1" applyBorder="1" applyAlignment="1">
      <alignment horizontal="left" vertical="top"/>
    </xf>
    <xf numFmtId="2" fontId="22" fillId="13" borderId="31" xfId="0" applyNumberFormat="1" applyFont="1" applyFill="1" applyBorder="1" applyAlignment="1" applyProtection="1">
      <alignment horizontal="center" vertical="center"/>
      <protection locked="0"/>
    </xf>
    <xf numFmtId="0" fontId="21" fillId="0" borderId="0" xfId="0" applyFont="1" applyAlignment="1">
      <alignment horizontal="center" vertical="center"/>
    </xf>
    <xf numFmtId="10" fontId="0" fillId="12" borderId="40" xfId="3" applyNumberFormat="1" applyFont="1" applyFill="1" applyBorder="1" applyAlignment="1">
      <alignment horizontal="center" vertical="center"/>
    </xf>
    <xf numFmtId="10" fontId="22" fillId="13" borderId="1" xfId="3" applyNumberFormat="1" applyFont="1" applyFill="1" applyBorder="1" applyAlignment="1">
      <alignment horizontal="left" vertical="center"/>
    </xf>
    <xf numFmtId="0" fontId="0" fillId="3" borderId="17" xfId="0" applyFill="1" applyBorder="1" applyAlignment="1" applyProtection="1">
      <alignment horizontal="center" vertical="center"/>
      <protection locked="0"/>
    </xf>
    <xf numFmtId="2" fontId="0" fillId="12" borderId="17" xfId="0" applyNumberFormat="1" applyFill="1" applyBorder="1" applyAlignment="1" applyProtection="1">
      <alignment horizontal="center" vertical="center"/>
      <protection locked="0"/>
    </xf>
    <xf numFmtId="169" fontId="22" fillId="13" borderId="1" xfId="3" applyNumberFormat="1" applyFont="1" applyFill="1" applyBorder="1" applyAlignment="1">
      <alignment horizontal="left" vertical="center"/>
    </xf>
    <xf numFmtId="165" fontId="0" fillId="12" borderId="17" xfId="3" applyNumberFormat="1" applyFont="1" applyFill="1" applyBorder="1" applyAlignment="1" applyProtection="1">
      <alignment horizontal="center" vertical="center"/>
      <protection locked="0"/>
    </xf>
    <xf numFmtId="165" fontId="22" fillId="13" borderId="1" xfId="3" applyNumberFormat="1" applyFont="1" applyFill="1" applyBorder="1" applyAlignment="1">
      <alignment horizontal="left" vertical="center"/>
    </xf>
    <xf numFmtId="0" fontId="17" fillId="0" borderId="2" xfId="0" applyFont="1" applyBorder="1" applyAlignment="1">
      <alignment horizontal="left" vertical="top"/>
    </xf>
    <xf numFmtId="0" fontId="17" fillId="0" borderId="39" xfId="0" applyFont="1" applyBorder="1" applyAlignment="1">
      <alignment horizontal="left" vertical="top"/>
    </xf>
    <xf numFmtId="0" fontId="0" fillId="11" borderId="38" xfId="0" applyFill="1" applyBorder="1" applyAlignment="1">
      <alignment horizontal="center" vertical="center"/>
    </xf>
    <xf numFmtId="0" fontId="9" fillId="15" borderId="53" xfId="0" applyFont="1" applyFill="1" applyBorder="1" applyAlignment="1">
      <alignment horizontal="left" vertical="center"/>
    </xf>
    <xf numFmtId="0" fontId="17" fillId="15" borderId="39" xfId="0" applyFont="1" applyFill="1" applyBorder="1" applyAlignment="1">
      <alignment horizontal="left" vertical="center" wrapText="1"/>
    </xf>
    <xf numFmtId="1" fontId="0" fillId="16" borderId="17" xfId="3" applyNumberFormat="1" applyFont="1" applyFill="1" applyBorder="1" applyAlignment="1">
      <alignment horizontal="center" vertical="center"/>
    </xf>
    <xf numFmtId="165" fontId="0" fillId="16" borderId="40" xfId="3" applyNumberFormat="1" applyFont="1" applyFill="1" applyBorder="1" applyAlignment="1">
      <alignment horizontal="center" vertical="center"/>
    </xf>
    <xf numFmtId="0" fontId="9" fillId="15" borderId="54" xfId="0" applyFont="1" applyFill="1" applyBorder="1" applyAlignment="1">
      <alignment horizontal="left" vertical="center"/>
    </xf>
    <xf numFmtId="0" fontId="17" fillId="15" borderId="21" xfId="0" applyFont="1" applyFill="1" applyBorder="1" applyAlignment="1">
      <alignment horizontal="left" vertical="center" wrapText="1"/>
    </xf>
    <xf numFmtId="165" fontId="17" fillId="16" borderId="35" xfId="3" applyNumberFormat="1" applyFont="1" applyFill="1" applyBorder="1" applyAlignment="1">
      <alignment horizontal="center" vertical="center"/>
    </xf>
    <xf numFmtId="2" fontId="0" fillId="0" borderId="28" xfId="0" applyNumberFormat="1" applyBorder="1" applyAlignment="1" applyProtection="1">
      <alignment horizontal="center" vertical="center"/>
      <protection locked="0"/>
    </xf>
    <xf numFmtId="0" fontId="9" fillId="0" borderId="2" xfId="0" applyFont="1" applyBorder="1" applyAlignment="1">
      <alignment vertical="center" wrapText="1"/>
    </xf>
    <xf numFmtId="169" fontId="0" fillId="11" borderId="55" xfId="0" applyNumberFormat="1" applyFill="1" applyBorder="1" applyAlignment="1">
      <alignment horizontal="center" vertical="center"/>
    </xf>
    <xf numFmtId="0" fontId="4" fillId="9" borderId="1" xfId="0" applyFont="1" applyFill="1" applyBorder="1" applyAlignment="1">
      <alignment horizontal="center" vertical="center" wrapText="1"/>
    </xf>
    <xf numFmtId="1" fontId="22" fillId="13" borderId="1" xfId="3" applyNumberFormat="1" applyFont="1" applyFill="1" applyBorder="1" applyAlignment="1">
      <alignment horizontal="left" vertical="center"/>
    </xf>
    <xf numFmtId="169" fontId="22" fillId="13" borderId="39" xfId="3" applyNumberFormat="1" applyFont="1" applyFill="1" applyBorder="1" applyAlignment="1">
      <alignment horizontal="left" vertical="center"/>
    </xf>
    <xf numFmtId="169" fontId="0" fillId="12" borderId="40" xfId="0" applyNumberFormat="1" applyFill="1" applyBorder="1" applyAlignment="1">
      <alignment horizontal="center" vertical="center"/>
    </xf>
    <xf numFmtId="1" fontId="0" fillId="11" borderId="55" xfId="0" applyNumberFormat="1" applyFill="1" applyBorder="1" applyAlignment="1">
      <alignment horizontal="center" vertical="center"/>
    </xf>
    <xf numFmtId="9" fontId="22" fillId="13" borderId="1" xfId="3" applyFont="1" applyFill="1" applyBorder="1" applyAlignment="1">
      <alignment horizontal="left" vertical="center"/>
    </xf>
    <xf numFmtId="9" fontId="22" fillId="13" borderId="39" xfId="3" applyFont="1" applyFill="1" applyBorder="1" applyAlignment="1">
      <alignment horizontal="left" vertical="center"/>
    </xf>
    <xf numFmtId="0" fontId="22" fillId="13" borderId="31" xfId="0" applyFont="1" applyFill="1" applyBorder="1" applyAlignment="1">
      <alignment horizontal="center" vertical="center"/>
    </xf>
    <xf numFmtId="2" fontId="0" fillId="12" borderId="17" xfId="0" applyNumberFormat="1" applyFill="1" applyBorder="1" applyAlignment="1">
      <alignment horizontal="center" vertical="center"/>
    </xf>
    <xf numFmtId="2" fontId="0" fillId="12" borderId="40" xfId="0" applyNumberFormat="1" applyFill="1" applyBorder="1" applyAlignment="1">
      <alignment horizontal="center" vertical="center"/>
    </xf>
    <xf numFmtId="0" fontId="17" fillId="0" borderId="13" xfId="0" applyFont="1" applyBorder="1" applyAlignment="1">
      <alignment horizontal="center" vertical="center"/>
    </xf>
    <xf numFmtId="2" fontId="22" fillId="13" borderId="13" xfId="0" applyNumberFormat="1" applyFont="1" applyFill="1" applyBorder="1" applyAlignment="1" applyProtection="1">
      <alignment horizontal="center" vertical="center"/>
      <protection locked="0"/>
    </xf>
    <xf numFmtId="1" fontId="22" fillId="13" borderId="40" xfId="3" applyNumberFormat="1" applyFont="1" applyFill="1" applyBorder="1" applyAlignment="1">
      <alignment horizontal="center" vertical="center"/>
    </xf>
    <xf numFmtId="1" fontId="22" fillId="13" borderId="41" xfId="3" applyNumberFormat="1" applyFont="1" applyFill="1" applyBorder="1" applyAlignment="1">
      <alignment horizontal="center" vertical="center"/>
    </xf>
    <xf numFmtId="2" fontId="22" fillId="13" borderId="22" xfId="0" applyNumberFormat="1" applyFont="1" applyFill="1" applyBorder="1" applyAlignment="1">
      <alignment horizontal="center" vertical="center"/>
    </xf>
    <xf numFmtId="0" fontId="17" fillId="13" borderId="43" xfId="0" applyFont="1" applyFill="1" applyBorder="1" applyAlignment="1">
      <alignment horizontal="left" vertical="center" wrapText="1"/>
    </xf>
    <xf numFmtId="0" fontId="17" fillId="13" borderId="44" xfId="0" applyFont="1" applyFill="1" applyBorder="1" applyAlignment="1">
      <alignment horizontal="left" vertical="center" wrapText="1"/>
    </xf>
    <xf numFmtId="1" fontId="17" fillId="13" borderId="41" xfId="3" applyNumberFormat="1" applyFont="1" applyFill="1" applyBorder="1" applyAlignment="1">
      <alignment horizontal="center" vertical="center"/>
    </xf>
    <xf numFmtId="2" fontId="17" fillId="13" borderId="22" xfId="0" applyNumberFormat="1" applyFont="1" applyFill="1" applyBorder="1" applyAlignment="1">
      <alignment horizontal="center" vertical="center"/>
    </xf>
    <xf numFmtId="0" fontId="9" fillId="0" borderId="0" xfId="0" applyFont="1" applyAlignment="1" applyProtection="1">
      <alignment vertical="top" wrapText="1"/>
      <protection locked="0"/>
    </xf>
    <xf numFmtId="0" fontId="25" fillId="0" borderId="0" xfId="0" applyFont="1" applyAlignment="1">
      <alignment vertical="center"/>
    </xf>
    <xf numFmtId="0" fontId="26" fillId="17" borderId="0" xfId="0" applyFont="1" applyFill="1" applyAlignment="1">
      <alignment vertical="center"/>
    </xf>
    <xf numFmtId="0" fontId="0" fillId="17" borderId="0" xfId="0" applyFill="1" applyAlignment="1">
      <alignment vertical="center"/>
    </xf>
    <xf numFmtId="0" fontId="0" fillId="17" borderId="0" xfId="0" applyFill="1" applyAlignment="1">
      <alignment horizontal="center" vertical="center"/>
    </xf>
    <xf numFmtId="0" fontId="28" fillId="17" borderId="0" xfId="0" applyFont="1" applyFill="1" applyAlignment="1">
      <alignment vertical="center"/>
    </xf>
    <xf numFmtId="0" fontId="25" fillId="17" borderId="0" xfId="0" applyFont="1" applyFill="1" applyAlignment="1">
      <alignment vertical="center"/>
    </xf>
    <xf numFmtId="0" fontId="29" fillId="17" borderId="0" xfId="0" applyFont="1" applyFill="1" applyAlignment="1">
      <alignment vertical="center"/>
    </xf>
    <xf numFmtId="0" fontId="25" fillId="17" borderId="0" xfId="0" applyFont="1" applyFill="1" applyAlignment="1">
      <alignment horizontal="right" vertical="center"/>
    </xf>
    <xf numFmtId="0" fontId="25" fillId="14" borderId="0" xfId="0" applyFont="1" applyFill="1" applyAlignment="1">
      <alignment vertical="center"/>
    </xf>
    <xf numFmtId="0" fontId="0" fillId="17" borderId="0" xfId="0" applyFill="1" applyAlignment="1">
      <alignment horizontal="right" vertical="center"/>
    </xf>
    <xf numFmtId="0" fontId="25" fillId="14" borderId="0" xfId="0" applyFont="1" applyFill="1" applyAlignment="1">
      <alignment horizontal="center" vertical="center"/>
    </xf>
    <xf numFmtId="0" fontId="30" fillId="17" borderId="0" xfId="0" applyFont="1" applyFill="1" applyAlignment="1">
      <alignment vertical="center"/>
    </xf>
    <xf numFmtId="0" fontId="31" fillId="17" borderId="0" xfId="0" applyFont="1" applyFill="1" applyAlignment="1">
      <alignment vertical="center"/>
    </xf>
    <xf numFmtId="0" fontId="32" fillId="17" borderId="0" xfId="0" applyFont="1" applyFill="1" applyAlignment="1">
      <alignment vertical="center"/>
    </xf>
    <xf numFmtId="14" fontId="32" fillId="17" borderId="0" xfId="0" applyNumberFormat="1" applyFont="1" applyFill="1" applyAlignment="1">
      <alignment vertical="center"/>
    </xf>
    <xf numFmtId="14" fontId="0" fillId="17" borderId="0" xfId="0" applyNumberFormat="1" applyFill="1" applyAlignment="1">
      <alignment vertical="center"/>
    </xf>
    <xf numFmtId="0" fontId="33" fillId="17" borderId="0" xfId="0" applyFont="1" applyFill="1" applyAlignment="1">
      <alignment vertical="center" wrapText="1"/>
    </xf>
    <xf numFmtId="0" fontId="34" fillId="17" borderId="0" xfId="0" applyFont="1" applyFill="1" applyAlignment="1">
      <alignment vertical="center" wrapText="1"/>
    </xf>
    <xf numFmtId="0" fontId="36" fillId="17" borderId="0" xfId="0" applyFont="1" applyFill="1" applyAlignment="1">
      <alignment vertical="center" wrapText="1"/>
    </xf>
    <xf numFmtId="0" fontId="37" fillId="17" borderId="0" xfId="0" applyFont="1" applyFill="1" applyAlignment="1">
      <alignment vertical="center" wrapText="1"/>
    </xf>
    <xf numFmtId="0" fontId="36" fillId="17" borderId="0" xfId="0" applyFont="1" applyFill="1" applyAlignment="1">
      <alignment horizontal="center" vertical="center" wrapText="1"/>
    </xf>
    <xf numFmtId="0" fontId="25" fillId="17" borderId="0" xfId="0" applyFont="1" applyFill="1" applyAlignment="1">
      <alignment horizontal="center" vertical="center"/>
    </xf>
    <xf numFmtId="0" fontId="38" fillId="17" borderId="0" xfId="0" applyFont="1" applyFill="1" applyAlignment="1">
      <alignment vertical="center"/>
    </xf>
    <xf numFmtId="0" fontId="35" fillId="17" borderId="0" xfId="0" quotePrefix="1" applyFont="1" applyFill="1" applyAlignment="1">
      <alignment horizontal="center" vertical="center"/>
    </xf>
    <xf numFmtId="0" fontId="0" fillId="0" borderId="24" xfId="0" applyBorder="1" applyAlignment="1">
      <alignment horizontal="center" vertical="top"/>
    </xf>
    <xf numFmtId="0" fontId="0" fillId="0" borderId="27" xfId="0" applyBorder="1" applyAlignment="1">
      <alignment horizontal="center" vertical="top"/>
    </xf>
    <xf numFmtId="0" fontId="0" fillId="0" borderId="29" xfId="0" applyBorder="1" applyAlignment="1">
      <alignment horizontal="center" vertical="top"/>
    </xf>
    <xf numFmtId="0" fontId="0" fillId="13" borderId="24" xfId="0" applyFill="1" applyBorder="1" applyAlignment="1">
      <alignment horizontal="center" vertical="top"/>
    </xf>
    <xf numFmtId="0" fontId="0" fillId="13" borderId="27" xfId="0" applyFill="1" applyBorder="1" applyAlignment="1">
      <alignment horizontal="center" vertical="top"/>
    </xf>
    <xf numFmtId="0" fontId="0" fillId="13" borderId="29" xfId="0" applyFill="1" applyBorder="1" applyAlignment="1">
      <alignment horizontal="center" vertical="top"/>
    </xf>
    <xf numFmtId="0" fontId="17" fillId="0" borderId="24" xfId="0" applyFont="1" applyBorder="1" applyAlignment="1">
      <alignment horizontal="center" vertical="top"/>
    </xf>
    <xf numFmtId="0" fontId="17" fillId="0" borderId="27" xfId="0" applyFont="1" applyBorder="1" applyAlignment="1">
      <alignment horizontal="center" vertical="top"/>
    </xf>
    <xf numFmtId="0" fontId="17" fillId="0" borderId="29" xfId="0" applyFont="1" applyBorder="1" applyAlignment="1">
      <alignment horizontal="center" vertical="top"/>
    </xf>
    <xf numFmtId="0" fontId="17" fillId="13" borderId="24" xfId="0" applyFont="1" applyFill="1" applyBorder="1" applyAlignment="1">
      <alignment horizontal="center" vertical="top"/>
    </xf>
    <xf numFmtId="0" fontId="17" fillId="13" borderId="27" xfId="0" applyFont="1" applyFill="1" applyBorder="1" applyAlignment="1">
      <alignment horizontal="center" vertical="top"/>
    </xf>
    <xf numFmtId="0" fontId="17" fillId="13" borderId="29" xfId="0" applyFont="1" applyFill="1" applyBorder="1" applyAlignment="1">
      <alignment horizontal="center" vertical="top"/>
    </xf>
    <xf numFmtId="0" fontId="0" fillId="0" borderId="14" xfId="0" applyBorder="1" applyAlignment="1">
      <alignment horizontal="center" vertical="top"/>
    </xf>
    <xf numFmtId="0" fontId="0" fillId="0" borderId="0" xfId="0" applyAlignment="1">
      <alignment horizontal="center" vertical="top"/>
    </xf>
    <xf numFmtId="0" fontId="0" fillId="0" borderId="36" xfId="0" applyBorder="1" applyAlignment="1">
      <alignment horizontal="center" vertical="top"/>
    </xf>
    <xf numFmtId="0" fontId="60" fillId="0" borderId="1" xfId="0" applyFont="1" applyBorder="1" applyAlignment="1">
      <alignment vertical="center" wrapText="1"/>
    </xf>
    <xf numFmtId="0" fontId="0" fillId="13" borderId="0" xfId="0" applyFill="1" applyAlignment="1">
      <alignment vertical="center"/>
    </xf>
    <xf numFmtId="0" fontId="57" fillId="0" borderId="1" xfId="0" applyFont="1" applyBorder="1" applyAlignment="1">
      <alignment vertical="center" wrapText="1"/>
    </xf>
    <xf numFmtId="0" fontId="56" fillId="16" borderId="1" xfId="0" applyFont="1" applyFill="1" applyBorder="1" applyAlignment="1">
      <alignment vertical="top" wrapText="1"/>
    </xf>
    <xf numFmtId="0" fontId="3" fillId="0" borderId="1" xfId="0" applyFont="1" applyBorder="1" applyAlignment="1">
      <alignment horizontal="left" vertical="top" wrapText="1"/>
    </xf>
    <xf numFmtId="0" fontId="3" fillId="0" borderId="1" xfId="0" applyFont="1" applyBorder="1" applyAlignment="1">
      <alignment horizontal="left" vertical="center" wrapText="1"/>
    </xf>
    <xf numFmtId="0" fontId="9" fillId="0" borderId="1" xfId="0" applyFont="1" applyBorder="1" applyAlignment="1">
      <alignment horizontal="left" vertical="center" wrapText="1"/>
    </xf>
    <xf numFmtId="0" fontId="14" fillId="8" borderId="48" xfId="0" applyFont="1" applyFill="1" applyBorder="1" applyAlignment="1">
      <alignment horizontal="center" vertical="center" wrapText="1"/>
    </xf>
    <xf numFmtId="0" fontId="55" fillId="8" borderId="48" xfId="0" applyFont="1" applyFill="1" applyBorder="1" applyAlignment="1">
      <alignment horizontal="center" vertical="center" wrapText="1"/>
    </xf>
    <xf numFmtId="0" fontId="9" fillId="10" borderId="0" xfId="0" applyFont="1" applyFill="1" applyAlignment="1" applyProtection="1">
      <alignment horizontal="left" vertical="top" wrapText="1"/>
      <protection locked="0"/>
    </xf>
    <xf numFmtId="0" fontId="9" fillId="13" borderId="0" xfId="0" applyFont="1" applyFill="1" applyAlignment="1" applyProtection="1">
      <alignment horizontal="left" vertical="top" wrapText="1"/>
      <protection locked="0"/>
    </xf>
    <xf numFmtId="0" fontId="19" fillId="13" borderId="0" xfId="0" applyFont="1" applyFill="1" applyAlignment="1">
      <alignment horizontal="center" vertical="center"/>
    </xf>
    <xf numFmtId="0" fontId="0" fillId="13" borderId="23" xfId="0" applyFill="1" applyBorder="1" applyAlignment="1">
      <alignment vertical="center"/>
    </xf>
    <xf numFmtId="0" fontId="19" fillId="16" borderId="32" xfId="0" applyFont="1" applyFill="1" applyBorder="1" applyAlignment="1">
      <alignment vertical="top" wrapText="1"/>
    </xf>
    <xf numFmtId="2" fontId="56" fillId="16" borderId="46" xfId="0" applyNumberFormat="1" applyFont="1" applyFill="1" applyBorder="1" applyAlignment="1">
      <alignment horizontal="center" vertical="center"/>
    </xf>
    <xf numFmtId="0" fontId="3" fillId="0" borderId="1" xfId="0" applyFont="1" applyBorder="1" applyAlignment="1">
      <alignment vertical="top" wrapText="1"/>
    </xf>
    <xf numFmtId="2" fontId="0" fillId="9" borderId="1" xfId="0" applyNumberFormat="1" applyFill="1" applyBorder="1" applyAlignment="1">
      <alignment horizontal="center" vertical="center"/>
    </xf>
    <xf numFmtId="0" fontId="0" fillId="0" borderId="1" xfId="0" applyBorder="1" applyAlignment="1">
      <alignment vertical="center"/>
    </xf>
    <xf numFmtId="169" fontId="0" fillId="0" borderId="1" xfId="0" applyNumberFormat="1" applyBorder="1" applyAlignment="1">
      <alignment horizontal="center" vertical="center"/>
    </xf>
    <xf numFmtId="0" fontId="0" fillId="0" borderId="1" xfId="0" applyBorder="1" applyAlignment="1">
      <alignment horizontal="center" vertical="center"/>
    </xf>
    <xf numFmtId="169" fontId="3"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2" fontId="0" fillId="0" borderId="1" xfId="0" applyNumberFormat="1" applyBorder="1" applyAlignment="1">
      <alignment horizontal="center" vertical="center"/>
    </xf>
    <xf numFmtId="2" fontId="56" fillId="16" borderId="1" xfId="0" applyNumberFormat="1" applyFont="1" applyFill="1" applyBorder="1" applyAlignment="1">
      <alignment horizontal="center" vertical="center"/>
    </xf>
    <xf numFmtId="0" fontId="0" fillId="13" borderId="1" xfId="0" applyFill="1" applyBorder="1" applyAlignment="1">
      <alignment vertical="center"/>
    </xf>
    <xf numFmtId="0" fontId="21" fillId="13" borderId="36" xfId="0" applyFont="1" applyFill="1" applyBorder="1" applyAlignment="1">
      <alignment horizontal="center" vertical="center"/>
    </xf>
    <xf numFmtId="0" fontId="9" fillId="13" borderId="0" xfId="0" applyFont="1" applyFill="1" applyAlignment="1">
      <alignment horizontal="left" vertical="center"/>
    </xf>
    <xf numFmtId="0" fontId="17" fillId="13" borderId="36" xfId="0" applyFont="1" applyFill="1" applyBorder="1" applyAlignment="1">
      <alignment horizontal="left" vertical="center"/>
    </xf>
    <xf numFmtId="2" fontId="0" fillId="13" borderId="36" xfId="0" applyNumberFormat="1" applyFill="1" applyBorder="1" applyAlignment="1">
      <alignment horizontal="center" vertical="center"/>
    </xf>
    <xf numFmtId="0" fontId="9" fillId="13" borderId="14" xfId="0" applyFont="1" applyFill="1" applyBorder="1" applyAlignment="1">
      <alignment horizontal="left" vertical="center"/>
    </xf>
    <xf numFmtId="0" fontId="17" fillId="13" borderId="14" xfId="0" applyFont="1" applyFill="1" applyBorder="1" applyAlignment="1">
      <alignment horizontal="left" vertical="center"/>
    </xf>
    <xf numFmtId="2" fontId="0" fillId="13" borderId="14" xfId="0" applyNumberFormat="1" applyFill="1" applyBorder="1" applyAlignment="1">
      <alignment horizontal="center" vertical="center"/>
    </xf>
    <xf numFmtId="0" fontId="9" fillId="10" borderId="1" xfId="0" applyFont="1" applyFill="1" applyBorder="1" applyAlignment="1" applyProtection="1">
      <alignment horizontal="left" vertical="top" wrapText="1"/>
      <protection locked="0"/>
    </xf>
    <xf numFmtId="0" fontId="2" fillId="0" borderId="10" xfId="0" applyFont="1" applyBorder="1" applyAlignment="1">
      <alignment horizontal="left" vertical="center" wrapText="1"/>
    </xf>
    <xf numFmtId="0" fontId="2" fillId="0" borderId="16" xfId="0" applyFont="1" applyBorder="1" applyAlignment="1">
      <alignment horizontal="left" vertical="center" wrapText="1"/>
    </xf>
    <xf numFmtId="0" fontId="0" fillId="16" borderId="19" xfId="0" applyFill="1" applyBorder="1" applyAlignment="1">
      <alignment horizontal="left" vertical="center" wrapText="1"/>
    </xf>
    <xf numFmtId="168" fontId="25" fillId="14" borderId="0" xfId="0" applyNumberFormat="1" applyFont="1" applyFill="1" applyAlignment="1">
      <alignment horizontal="left" vertical="center"/>
    </xf>
    <xf numFmtId="0" fontId="25" fillId="14" borderId="0" xfId="0" applyFont="1" applyFill="1" applyAlignment="1">
      <alignment horizontal="left" vertical="center"/>
    </xf>
    <xf numFmtId="0" fontId="38" fillId="17" borderId="0" xfId="0" applyFont="1" applyFill="1" applyAlignment="1">
      <alignment horizontal="center" vertical="center"/>
    </xf>
    <xf numFmtId="0" fontId="25" fillId="17" borderId="0" xfId="0" applyFont="1" applyFill="1" applyAlignment="1">
      <alignment horizontal="center" vertical="center"/>
    </xf>
    <xf numFmtId="0" fontId="27" fillId="6" borderId="0" xfId="0" applyFont="1" applyFill="1" applyAlignment="1">
      <alignment horizontal="center" vertical="center"/>
    </xf>
    <xf numFmtId="0" fontId="27" fillId="18" borderId="0" xfId="0" applyFont="1" applyFill="1" applyAlignment="1">
      <alignment horizontal="center" vertical="center"/>
    </xf>
    <xf numFmtId="0" fontId="27" fillId="19" borderId="0" xfId="0" applyFont="1" applyFill="1" applyAlignment="1">
      <alignment horizontal="center" vertical="center"/>
    </xf>
    <xf numFmtId="0" fontId="25" fillId="14" borderId="0" xfId="0" applyFont="1" applyFill="1" applyAlignment="1">
      <alignment horizontal="left" vertical="center" wrapText="1"/>
    </xf>
    <xf numFmtId="0" fontId="2" fillId="0" borderId="10" xfId="0" applyFont="1" applyBorder="1" applyAlignment="1">
      <alignment horizontal="center" vertical="top" wrapText="1"/>
    </xf>
    <xf numFmtId="0" fontId="2" fillId="0" borderId="16" xfId="0" applyFont="1" applyBorder="1" applyAlignment="1">
      <alignment horizontal="center" vertical="top" wrapText="1"/>
    </xf>
    <xf numFmtId="0" fontId="2" fillId="0" borderId="19" xfId="0" applyFont="1" applyBorder="1" applyAlignment="1">
      <alignment horizontal="center" vertical="top" wrapText="1"/>
    </xf>
    <xf numFmtId="0" fontId="17" fillId="0" borderId="10" xfId="0" applyFont="1" applyBorder="1" applyAlignment="1">
      <alignment horizontal="center" vertical="top" wrapText="1"/>
    </xf>
    <xf numFmtId="0" fontId="17" fillId="0" borderId="16" xfId="0" applyFont="1" applyBorder="1" applyAlignment="1">
      <alignment horizontal="center" vertical="top" wrapText="1"/>
    </xf>
    <xf numFmtId="0" fontId="17" fillId="0" borderId="19" xfId="0" applyFont="1" applyBorder="1" applyAlignment="1">
      <alignment horizontal="center" vertical="top" wrapText="1"/>
    </xf>
    <xf numFmtId="0" fontId="19" fillId="0" borderId="10" xfId="0" applyFont="1" applyBorder="1" applyAlignment="1">
      <alignment horizontal="center" vertical="top" wrapText="1"/>
    </xf>
    <xf numFmtId="0" fontId="19" fillId="0" borderId="16" xfId="0" applyFont="1" applyBorder="1" applyAlignment="1">
      <alignment horizontal="center" vertical="top" wrapText="1"/>
    </xf>
    <xf numFmtId="0" fontId="19" fillId="0" borderId="19" xfId="0" applyFont="1" applyBorder="1" applyAlignment="1">
      <alignment horizontal="center" vertical="top" wrapText="1"/>
    </xf>
    <xf numFmtId="0" fontId="0" fillId="0" borderId="33" xfId="0" applyBorder="1" applyAlignment="1">
      <alignment horizontal="center" vertical="top" wrapText="1"/>
    </xf>
    <xf numFmtId="0" fontId="0" fillId="0" borderId="51" xfId="0" applyBorder="1" applyAlignment="1">
      <alignment horizontal="center" vertical="top" wrapText="1"/>
    </xf>
    <xf numFmtId="0" fontId="0" fillId="0" borderId="16" xfId="0" applyBorder="1" applyAlignment="1">
      <alignment horizontal="center" vertical="top" wrapText="1"/>
    </xf>
    <xf numFmtId="0" fontId="0" fillId="0" borderId="19" xfId="0" applyBorder="1" applyAlignment="1">
      <alignment horizontal="center" vertical="top" wrapText="1"/>
    </xf>
    <xf numFmtId="0" fontId="0" fillId="0" borderId="45" xfId="0" applyBorder="1" applyAlignment="1">
      <alignment horizontal="center" vertical="top" wrapText="1"/>
    </xf>
    <xf numFmtId="0" fontId="0" fillId="13" borderId="10" xfId="0" applyFill="1" applyBorder="1" applyAlignment="1">
      <alignment horizontal="center" vertical="top" wrapText="1"/>
    </xf>
    <xf numFmtId="0" fontId="0" fillId="13" borderId="16" xfId="0" applyFill="1" applyBorder="1" applyAlignment="1">
      <alignment horizontal="center" vertical="top" wrapText="1"/>
    </xf>
    <xf numFmtId="0" fontId="0" fillId="13" borderId="19" xfId="0" applyFill="1" applyBorder="1" applyAlignment="1">
      <alignment horizontal="center" vertical="top" wrapText="1"/>
    </xf>
    <xf numFmtId="0" fontId="17" fillId="13" borderId="10" xfId="0" applyFont="1" applyFill="1" applyBorder="1" applyAlignment="1">
      <alignment horizontal="center" vertical="top" wrapText="1"/>
    </xf>
    <xf numFmtId="0" fontId="17" fillId="13" borderId="16" xfId="0" applyFont="1" applyFill="1" applyBorder="1" applyAlignment="1">
      <alignment horizontal="center" vertical="top" wrapText="1"/>
    </xf>
    <xf numFmtId="0" fontId="17" fillId="13" borderId="19" xfId="0" applyFont="1" applyFill="1" applyBorder="1" applyAlignment="1">
      <alignment horizontal="center" vertical="top" wrapText="1"/>
    </xf>
    <xf numFmtId="0" fontId="0" fillId="0" borderId="10" xfId="0" applyBorder="1" applyAlignment="1">
      <alignment horizontal="center" vertical="top" wrapText="1"/>
    </xf>
    <xf numFmtId="0" fontId="17" fillId="0" borderId="1" xfId="0" applyFont="1" applyBorder="1" applyAlignment="1">
      <alignment horizontal="left" vertical="center" wrapText="1"/>
    </xf>
    <xf numFmtId="0" fontId="17" fillId="5" borderId="30" xfId="0" applyFont="1" applyFill="1" applyBorder="1" applyAlignment="1">
      <alignment horizontal="left" vertical="center" wrapText="1"/>
    </xf>
    <xf numFmtId="0" fontId="17" fillId="5" borderId="32" xfId="0" applyFont="1" applyFill="1" applyBorder="1" applyAlignment="1">
      <alignment horizontal="left" vertical="center" wrapText="1"/>
    </xf>
    <xf numFmtId="1" fontId="0" fillId="0" borderId="31" xfId="0" applyNumberFormat="1" applyBorder="1" applyAlignment="1" applyProtection="1">
      <alignment horizontal="center" vertical="center"/>
      <protection locked="0"/>
    </xf>
    <xf numFmtId="1" fontId="0" fillId="0" borderId="28" xfId="0" applyNumberFormat="1" applyBorder="1" applyAlignment="1" applyProtection="1">
      <alignment horizontal="center" vertical="center"/>
      <protection locked="0"/>
    </xf>
    <xf numFmtId="1" fontId="17" fillId="14" borderId="31" xfId="0" applyNumberFormat="1" applyFont="1" applyFill="1" applyBorder="1" applyAlignment="1" applyProtection="1">
      <alignment horizontal="center" vertical="center"/>
      <protection locked="0"/>
    </xf>
    <xf numFmtId="1" fontId="17" fillId="14" borderId="28" xfId="0" applyNumberFormat="1" applyFont="1" applyFill="1" applyBorder="1" applyAlignment="1" applyProtection="1">
      <alignment horizontal="center" vertical="center"/>
      <protection locked="0"/>
    </xf>
    <xf numFmtId="0" fontId="9" fillId="0" borderId="43" xfId="0" applyFont="1" applyBorder="1" applyAlignment="1">
      <alignment horizontal="center" vertical="center" textRotation="90"/>
    </xf>
    <xf numFmtId="0" fontId="9" fillId="0" borderId="51" xfId="0" applyFont="1" applyBorder="1" applyAlignment="1">
      <alignment horizontal="center" vertical="center" textRotation="90"/>
    </xf>
    <xf numFmtId="0" fontId="9" fillId="0" borderId="26" xfId="0" applyFont="1" applyBorder="1" applyAlignment="1">
      <alignment horizontal="center" vertical="center" textRotation="90"/>
    </xf>
    <xf numFmtId="0" fontId="9" fillId="0" borderId="43" xfId="0" applyFont="1" applyBorder="1" applyAlignment="1">
      <alignment horizontal="center" vertical="center" textRotation="90" wrapText="1"/>
    </xf>
    <xf numFmtId="0" fontId="9" fillId="0" borderId="51" xfId="0" applyFont="1" applyBorder="1" applyAlignment="1">
      <alignment horizontal="center" vertical="center" textRotation="90" wrapText="1"/>
    </xf>
    <xf numFmtId="0" fontId="9" fillId="0" borderId="26" xfId="0" applyFont="1" applyBorder="1" applyAlignment="1">
      <alignment horizontal="center" vertical="center" textRotation="90" wrapText="1"/>
    </xf>
    <xf numFmtId="0" fontId="13" fillId="0" borderId="30" xfId="0" applyFont="1" applyBorder="1" applyAlignment="1">
      <alignment horizontal="center" vertical="center" textRotation="90" wrapText="1"/>
    </xf>
    <xf numFmtId="0" fontId="13" fillId="0" borderId="16" xfId="0" applyFont="1" applyBorder="1" applyAlignment="1">
      <alignment horizontal="center" vertical="center" textRotation="90" wrapText="1"/>
    </xf>
    <xf numFmtId="0" fontId="13" fillId="0" borderId="32" xfId="0" applyFont="1" applyBorder="1" applyAlignment="1">
      <alignment horizontal="center" vertical="center" textRotation="90" wrapText="1"/>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top"/>
    </xf>
    <xf numFmtId="0" fontId="0" fillId="0" borderId="16" xfId="0" applyBorder="1" applyAlignment="1">
      <alignment horizontal="center" vertical="top"/>
    </xf>
    <xf numFmtId="0" fontId="0" fillId="0" borderId="19" xfId="0" applyBorder="1" applyAlignment="1">
      <alignment horizontal="center" vertical="top"/>
    </xf>
    <xf numFmtId="0" fontId="17" fillId="0" borderId="9" xfId="0" applyFont="1" applyBorder="1" applyAlignment="1">
      <alignment horizontal="center" vertical="top"/>
    </xf>
    <xf numFmtId="0" fontId="17" fillId="0" borderId="15" xfId="0" applyFont="1" applyBorder="1" applyAlignment="1">
      <alignment horizontal="center" vertical="top"/>
    </xf>
    <xf numFmtId="0" fontId="17" fillId="0" borderId="18" xfId="0" applyFont="1" applyBorder="1" applyAlignment="1">
      <alignment horizontal="center" vertical="top"/>
    </xf>
    <xf numFmtId="0" fontId="0" fillId="13" borderId="9" xfId="0" applyFill="1" applyBorder="1" applyAlignment="1">
      <alignment horizontal="center" vertical="top"/>
    </xf>
    <xf numFmtId="0" fontId="0" fillId="13" borderId="15" xfId="0" applyFill="1" applyBorder="1" applyAlignment="1">
      <alignment horizontal="center" vertical="top"/>
    </xf>
    <xf numFmtId="0" fontId="0" fillId="13" borderId="18" xfId="0" applyFill="1" applyBorder="1" applyAlignment="1">
      <alignment horizontal="center" vertical="top"/>
    </xf>
    <xf numFmtId="0" fontId="17" fillId="13" borderId="9" xfId="0" applyFont="1" applyFill="1" applyBorder="1" applyAlignment="1">
      <alignment horizontal="center" vertical="top"/>
    </xf>
    <xf numFmtId="0" fontId="17" fillId="13" borderId="15" xfId="0" applyFont="1" applyFill="1" applyBorder="1" applyAlignment="1">
      <alignment horizontal="center" vertical="top"/>
    </xf>
    <xf numFmtId="0" fontId="17" fillId="13" borderId="18" xfId="0" applyFont="1" applyFill="1" applyBorder="1" applyAlignment="1">
      <alignment horizontal="center" vertical="top"/>
    </xf>
    <xf numFmtId="0" fontId="0" fillId="0" borderId="9" xfId="0" applyBorder="1" applyAlignment="1">
      <alignment horizontal="center" vertical="top"/>
    </xf>
    <xf numFmtId="0" fontId="0" fillId="0" borderId="15" xfId="0" applyBorder="1" applyAlignment="1">
      <alignment horizontal="center" vertical="top"/>
    </xf>
    <xf numFmtId="0" fontId="0" fillId="0" borderId="18" xfId="0" applyBorder="1" applyAlignment="1">
      <alignment horizontal="center" vertical="top"/>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56" fillId="0" borderId="1" xfId="0" applyFont="1" applyBorder="1" applyAlignment="1">
      <alignment horizontal="center" vertical="top"/>
    </xf>
    <xf numFmtId="0" fontId="56" fillId="0" borderId="18" xfId="0" applyFont="1" applyBorder="1" applyAlignment="1">
      <alignment horizontal="center" vertical="top"/>
    </xf>
    <xf numFmtId="0" fontId="17" fillId="0" borderId="2" xfId="0" applyFont="1" applyBorder="1" applyAlignment="1">
      <alignment horizontal="left" vertical="center" wrapText="1"/>
    </xf>
    <xf numFmtId="0" fontId="17" fillId="0" borderId="39"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22" fillId="13" borderId="2" xfId="0" applyFont="1" applyFill="1" applyBorder="1" applyAlignment="1">
      <alignment horizontal="left" vertical="center" wrapText="1"/>
    </xf>
    <xf numFmtId="0" fontId="22" fillId="13" borderId="39" xfId="0" applyFont="1" applyFill="1" applyBorder="1" applyAlignment="1">
      <alignment horizontal="left" vertical="center" wrapText="1"/>
    </xf>
    <xf numFmtId="0" fontId="22" fillId="13" borderId="20" xfId="0" applyFont="1" applyFill="1" applyBorder="1" applyAlignment="1">
      <alignment horizontal="left" vertical="center" wrapText="1"/>
    </xf>
    <xf numFmtId="0" fontId="22" fillId="13" borderId="21" xfId="0" applyFont="1" applyFill="1" applyBorder="1" applyAlignment="1">
      <alignment horizontal="left" vertical="center" wrapText="1"/>
    </xf>
    <xf numFmtId="0" fontId="17" fillId="13" borderId="37" xfId="0" applyFont="1" applyFill="1" applyBorder="1" applyAlignment="1">
      <alignment horizontal="left" vertical="center" wrapText="1"/>
    </xf>
    <xf numFmtId="0" fontId="17" fillId="13" borderId="2" xfId="0" applyFont="1" applyFill="1" applyBorder="1" applyAlignment="1">
      <alignment horizontal="left" vertical="center" wrapText="1"/>
    </xf>
    <xf numFmtId="0" fontId="17" fillId="13" borderId="39" xfId="0" applyFont="1" applyFill="1" applyBorder="1" applyAlignment="1">
      <alignment horizontal="left" vertical="center" wrapText="1"/>
    </xf>
    <xf numFmtId="0" fontId="17" fillId="13" borderId="20" xfId="0" applyFont="1" applyFill="1" applyBorder="1" applyAlignment="1">
      <alignment horizontal="left" vertical="center" wrapText="1"/>
    </xf>
    <xf numFmtId="0" fontId="17" fillId="13" borderId="21" xfId="0" applyFont="1" applyFill="1" applyBorder="1" applyAlignment="1">
      <alignment horizontal="left" vertical="center" wrapText="1"/>
    </xf>
    <xf numFmtId="0" fontId="17" fillId="0" borderId="37" xfId="0" applyFont="1" applyBorder="1" applyAlignment="1">
      <alignment horizontal="left" vertical="center" wrapText="1"/>
    </xf>
    <xf numFmtId="0" fontId="22" fillId="13" borderId="37" xfId="0" applyFont="1" applyFill="1" applyBorder="1" applyAlignment="1">
      <alignment horizontal="left" vertical="center" wrapText="1"/>
    </xf>
    <xf numFmtId="0" fontId="9" fillId="15" borderId="53" xfId="0" applyFont="1" applyFill="1" applyBorder="1" applyAlignment="1">
      <alignment horizontal="left" vertical="center" wrapText="1"/>
    </xf>
    <xf numFmtId="0" fontId="9" fillId="15" borderId="39" xfId="0" applyFont="1" applyFill="1" applyBorder="1" applyAlignment="1">
      <alignment horizontal="left" vertical="center" wrapText="1"/>
    </xf>
    <xf numFmtId="0" fontId="9" fillId="0" borderId="37" xfId="0" applyFont="1" applyBorder="1" applyAlignment="1">
      <alignment horizontal="left" vertical="center" wrapText="1"/>
    </xf>
    <xf numFmtId="0" fontId="9" fillId="0" borderId="2" xfId="0" applyFont="1" applyBorder="1" applyAlignment="1">
      <alignment horizontal="left" vertical="center" wrapText="1"/>
    </xf>
    <xf numFmtId="0" fontId="9" fillId="0" borderId="39" xfId="0" applyFont="1" applyBorder="1" applyAlignment="1">
      <alignment horizontal="left" vertical="center" wrapText="1"/>
    </xf>
    <xf numFmtId="0" fontId="9" fillId="0" borderId="32" xfId="0" applyFont="1" applyBorder="1" applyAlignment="1">
      <alignment horizontal="left" vertical="center" wrapText="1"/>
    </xf>
    <xf numFmtId="0" fontId="9" fillId="0" borderId="1" xfId="0" applyFont="1" applyBorder="1" applyAlignment="1">
      <alignment horizontal="left" vertical="center" wrapText="1"/>
    </xf>
    <xf numFmtId="0" fontId="9" fillId="0" borderId="34" xfId="0" applyFont="1" applyBorder="1" applyAlignment="1">
      <alignment horizontal="left" vertical="center" wrapText="1"/>
    </xf>
    <xf numFmtId="0" fontId="7" fillId="15" borderId="52" xfId="0" applyFont="1" applyFill="1" applyBorder="1" applyAlignment="1">
      <alignment horizontal="left" vertical="center" wrapText="1"/>
    </xf>
    <xf numFmtId="0" fontId="7" fillId="15" borderId="37" xfId="0" applyFont="1" applyFill="1" applyBorder="1" applyAlignment="1">
      <alignment horizontal="left" vertical="center" wrapText="1"/>
    </xf>
    <xf numFmtId="0" fontId="17" fillId="0" borderId="2" xfId="0" applyFont="1" applyBorder="1" applyAlignment="1">
      <alignment horizontal="left" vertical="top" wrapText="1"/>
    </xf>
    <xf numFmtId="0" fontId="17" fillId="0" borderId="39" xfId="0" applyFont="1" applyBorder="1" applyAlignment="1">
      <alignment horizontal="left" vertical="top" wrapText="1"/>
    </xf>
    <xf numFmtId="0" fontId="9" fillId="0" borderId="29" xfId="0" applyFont="1" applyBorder="1" applyAlignment="1">
      <alignment horizontal="left" vertical="center"/>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13" borderId="2" xfId="0" applyFont="1" applyFill="1" applyBorder="1" applyAlignment="1">
      <alignment horizontal="left" vertical="center" wrapText="1"/>
    </xf>
    <xf numFmtId="0" fontId="9" fillId="13" borderId="39" xfId="0" applyFont="1" applyFill="1" applyBorder="1" applyAlignment="1">
      <alignment horizontal="left" vertical="center" wrapText="1"/>
    </xf>
    <xf numFmtId="0" fontId="9" fillId="13" borderId="20" xfId="0" applyFont="1" applyFill="1" applyBorder="1" applyAlignment="1">
      <alignment horizontal="left" vertical="center" wrapText="1"/>
    </xf>
    <xf numFmtId="0" fontId="9" fillId="13" borderId="21" xfId="0" applyFont="1" applyFill="1" applyBorder="1" applyAlignment="1">
      <alignment horizontal="left" vertical="center" wrapText="1"/>
    </xf>
    <xf numFmtId="0" fontId="9" fillId="0" borderId="24" xfId="0" applyFont="1" applyBorder="1" applyAlignment="1">
      <alignment horizontal="left" vertical="center" wrapText="1"/>
    </xf>
    <xf numFmtId="0" fontId="9" fillId="13" borderId="37" xfId="0" applyFont="1" applyFill="1" applyBorder="1" applyAlignment="1">
      <alignment horizontal="left" vertical="center" wrapText="1"/>
    </xf>
    <xf numFmtId="0" fontId="9" fillId="0" borderId="2" xfId="0" applyFont="1" applyBorder="1" applyAlignment="1">
      <alignment horizontal="right" vertical="center" wrapText="1"/>
    </xf>
    <xf numFmtId="0" fontId="9" fillId="0" borderId="39" xfId="0" applyFont="1" applyBorder="1" applyAlignment="1">
      <alignment horizontal="right"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9" fillId="13" borderId="27" xfId="0" applyFont="1" applyFill="1" applyBorder="1" applyAlignment="1">
      <alignment horizontal="left" vertical="center" wrapText="1"/>
    </xf>
    <xf numFmtId="0" fontId="17" fillId="14" borderId="2" xfId="0" applyFont="1" applyFill="1" applyBorder="1" applyAlignment="1">
      <alignment horizontal="left" vertical="center" wrapText="1"/>
    </xf>
    <xf numFmtId="0" fontId="17" fillId="14" borderId="27" xfId="0" applyFont="1" applyFill="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22" fillId="13" borderId="1" xfId="0" applyFont="1" applyFill="1" applyBorder="1" applyAlignment="1">
      <alignment horizontal="left" vertical="center" wrapText="1"/>
    </xf>
    <xf numFmtId="0" fontId="7" fillId="0" borderId="2" xfId="0" applyFont="1" applyBorder="1" applyAlignment="1">
      <alignment horizontal="left" vertical="center" wrapText="1"/>
    </xf>
    <xf numFmtId="0" fontId="7" fillId="0" borderId="39" xfId="0" applyFont="1" applyBorder="1" applyAlignment="1">
      <alignment horizontal="left" vertical="center" wrapText="1"/>
    </xf>
    <xf numFmtId="0" fontId="9" fillId="0" borderId="50" xfId="0" applyFont="1" applyBorder="1" applyAlignment="1">
      <alignment horizontal="left" vertical="center" wrapText="1"/>
    </xf>
    <xf numFmtId="0" fontId="9" fillId="0" borderId="35" xfId="0" applyFont="1" applyBorder="1" applyAlignment="1">
      <alignment horizontal="left" vertical="center" wrapText="1"/>
    </xf>
    <xf numFmtId="0" fontId="17" fillId="0" borderId="43" xfId="0" applyFont="1" applyBorder="1" applyAlignment="1">
      <alignment horizontal="left" vertical="center" wrapText="1"/>
    </xf>
    <xf numFmtId="0" fontId="17" fillId="0" borderId="44" xfId="0" applyFont="1" applyBorder="1" applyAlignment="1">
      <alignment horizontal="left" vertical="center" wrapText="1"/>
    </xf>
    <xf numFmtId="0" fontId="9" fillId="0" borderId="43" xfId="0" applyFont="1" applyBorder="1" applyAlignment="1">
      <alignment horizontal="left" vertical="center" wrapText="1"/>
    </xf>
    <xf numFmtId="0" fontId="9" fillId="0" borderId="44"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3" xfId="0" applyFont="1" applyBorder="1" applyAlignment="1">
      <alignment horizontal="left" vertical="center" wrapText="1"/>
    </xf>
    <xf numFmtId="0" fontId="0" fillId="0" borderId="2" xfId="0" applyBorder="1" applyAlignment="1">
      <alignment horizontal="left"/>
    </xf>
    <xf numFmtId="0" fontId="0" fillId="0" borderId="39" xfId="0" applyBorder="1" applyAlignment="1">
      <alignment horizontal="left"/>
    </xf>
    <xf numFmtId="0" fontId="9" fillId="0" borderId="45" xfId="0" applyFont="1" applyBorder="1" applyAlignment="1">
      <alignment horizontal="left" vertical="center" wrapText="1"/>
    </xf>
    <xf numFmtId="0" fontId="9" fillId="0" borderId="29" xfId="0" applyFont="1" applyBorder="1" applyAlignment="1">
      <alignment horizontal="left" vertical="center" wrapText="1"/>
    </xf>
    <xf numFmtId="0" fontId="9" fillId="0" borderId="33" xfId="0" applyFont="1" applyBorder="1" applyAlignment="1">
      <alignment horizontal="left" vertical="center" wrapText="1"/>
    </xf>
    <xf numFmtId="0" fontId="9" fillId="0" borderId="34" xfId="0" applyFont="1" applyBorder="1" applyAlignment="1">
      <alignment horizontal="left" vertical="center"/>
    </xf>
    <xf numFmtId="0" fontId="9" fillId="0" borderId="19" xfId="0" applyFont="1" applyBorder="1" applyAlignment="1">
      <alignment horizontal="left" vertical="center"/>
    </xf>
    <xf numFmtId="0" fontId="0" fillId="0" borderId="1" xfId="0" applyBorder="1" applyAlignment="1">
      <alignment horizontal="left"/>
    </xf>
    <xf numFmtId="0" fontId="61" fillId="16" borderId="45" xfId="0" applyFont="1" applyFill="1" applyBorder="1" applyAlignment="1">
      <alignment horizontal="left" vertical="center"/>
    </xf>
    <xf numFmtId="0" fontId="61" fillId="16" borderId="29" xfId="0" applyFont="1" applyFill="1" applyBorder="1" applyAlignment="1">
      <alignment horizontal="left" vertical="center"/>
    </xf>
    <xf numFmtId="0" fontId="17" fillId="0" borderId="30" xfId="0" applyFont="1" applyBorder="1" applyAlignment="1">
      <alignment horizontal="left" vertical="center" wrapText="1"/>
    </xf>
    <xf numFmtId="0" fontId="17" fillId="0" borderId="32" xfId="0" applyFont="1" applyBorder="1" applyAlignment="1">
      <alignment horizontal="left" vertical="center" wrapText="1"/>
    </xf>
    <xf numFmtId="0" fontId="62" fillId="13" borderId="0" xfId="0" applyFont="1" applyFill="1" applyAlignment="1">
      <alignment horizontal="center" vertical="center"/>
    </xf>
    <xf numFmtId="0" fontId="14" fillId="8" borderId="6" xfId="0" applyFont="1" applyFill="1" applyBorder="1" applyAlignment="1">
      <alignment horizontal="center" vertical="center" wrapText="1"/>
    </xf>
    <xf numFmtId="0" fontId="14" fillId="8" borderId="7" xfId="0" applyFont="1" applyFill="1" applyBorder="1" applyAlignment="1">
      <alignment horizontal="center" vertical="center" wrapText="1"/>
    </xf>
    <xf numFmtId="0" fontId="61" fillId="16" borderId="32" xfId="0" applyFont="1" applyFill="1" applyBorder="1" applyAlignment="1">
      <alignment horizontal="left" vertical="center"/>
    </xf>
    <xf numFmtId="0" fontId="61" fillId="16" borderId="1" xfId="0" applyFont="1" applyFill="1" applyBorder="1" applyAlignment="1">
      <alignment horizontal="left" vertical="center"/>
    </xf>
    <xf numFmtId="0" fontId="56" fillId="0" borderId="1" xfId="0" applyFont="1" applyBorder="1" applyAlignment="1">
      <alignment horizontal="center" vertical="top" wrapText="1"/>
    </xf>
    <xf numFmtId="0" fontId="56" fillId="0" borderId="19" xfId="0" applyFont="1" applyBorder="1" applyAlignment="1">
      <alignment horizontal="center" vertical="top" wrapText="1"/>
    </xf>
    <xf numFmtId="0" fontId="63" fillId="6" borderId="0" xfId="0" applyFont="1" applyFill="1" applyAlignment="1">
      <alignment horizontal="center" vertical="center"/>
    </xf>
    <xf numFmtId="0" fontId="55" fillId="13" borderId="56" xfId="0" applyFont="1" applyFill="1" applyBorder="1" applyAlignment="1">
      <alignment horizontal="left" vertical="center" wrapText="1"/>
    </xf>
    <xf numFmtId="0" fontId="55" fillId="13" borderId="14" xfId="0" applyFont="1" applyFill="1" applyBorder="1" applyAlignment="1">
      <alignment horizontal="left" vertical="center" wrapText="1"/>
    </xf>
    <xf numFmtId="0" fontId="55" fillId="13" borderId="23" xfId="0" applyFont="1" applyFill="1" applyBorder="1" applyAlignment="1">
      <alignment horizontal="left" vertical="center" wrapText="1"/>
    </xf>
    <xf numFmtId="0" fontId="55" fillId="13" borderId="57" xfId="0" applyFont="1" applyFill="1" applyBorder="1" applyAlignment="1">
      <alignment horizontal="left" vertical="center" wrapText="1"/>
    </xf>
    <xf numFmtId="0" fontId="55" fillId="13" borderId="0" xfId="0" applyFont="1" applyFill="1" applyAlignment="1">
      <alignment horizontal="left" vertical="center"/>
    </xf>
    <xf numFmtId="0" fontId="8" fillId="0" borderId="0" xfId="0" applyFont="1" applyAlignment="1">
      <alignment horizontal="center"/>
    </xf>
    <xf numFmtId="0" fontId="0" fillId="0" borderId="0" xfId="0" applyAlignment="1">
      <alignment horizontal="center" vertic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0" fillId="0" borderId="0" xfId="0" applyAlignment="1">
      <alignment horizontal="left" vertical="center"/>
    </xf>
    <xf numFmtId="2" fontId="14" fillId="4" borderId="0" xfId="0" applyNumberFormat="1" applyFont="1" applyFill="1" applyAlignment="1">
      <alignment horizontal="center" vertical="center"/>
    </xf>
    <xf numFmtId="0" fontId="7" fillId="0" borderId="0" xfId="0" applyFont="1" applyAlignment="1">
      <alignment horizontal="center" vertical="center"/>
    </xf>
    <xf numFmtId="0" fontId="21" fillId="13" borderId="0" xfId="0" applyFont="1" applyFill="1" applyBorder="1" applyAlignment="1">
      <alignment horizontal="center" vertical="center"/>
    </xf>
    <xf numFmtId="0" fontId="17" fillId="13" borderId="0" xfId="0" applyFont="1" applyFill="1" applyBorder="1" applyAlignment="1">
      <alignment horizontal="left" vertical="center"/>
    </xf>
    <xf numFmtId="2" fontId="0" fillId="13" borderId="0" xfId="0" applyNumberFormat="1" applyFill="1" applyBorder="1" applyAlignment="1">
      <alignment horizontal="center" vertical="center"/>
    </xf>
    <xf numFmtId="0" fontId="9" fillId="13" borderId="0" xfId="0" applyFont="1" applyFill="1" applyBorder="1" applyAlignment="1">
      <alignment horizontal="left" vertical="center"/>
    </xf>
    <xf numFmtId="0" fontId="0" fillId="16" borderId="1" xfId="0" applyFill="1" applyBorder="1" applyAlignment="1">
      <alignment vertical="top" wrapText="1"/>
    </xf>
    <xf numFmtId="0" fontId="21" fillId="13" borderId="14" xfId="0" applyFont="1" applyFill="1" applyBorder="1" applyAlignment="1">
      <alignment horizontal="center" vertical="center"/>
    </xf>
    <xf numFmtId="0" fontId="9" fillId="13" borderId="36" xfId="0" applyFont="1" applyFill="1" applyBorder="1" applyAlignment="1">
      <alignment horizontal="left" vertical="center"/>
    </xf>
    <xf numFmtId="0" fontId="0" fillId="0" borderId="1" xfId="0" applyBorder="1" applyAlignment="1">
      <alignment horizontal="center" vertical="top"/>
    </xf>
    <xf numFmtId="0" fontId="2" fillId="0" borderId="1" xfId="0" applyFont="1" applyBorder="1" applyAlignment="1">
      <alignment horizontal="center" vertical="top"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7" fillId="0" borderId="1" xfId="0" applyFont="1" applyBorder="1" applyAlignment="1">
      <alignment horizontal="left" vertical="center" wrapText="1"/>
    </xf>
    <xf numFmtId="0" fontId="2" fillId="0" borderId="1" xfId="0" applyFont="1" applyBorder="1" applyAlignment="1">
      <alignment vertical="top" wrapText="1"/>
    </xf>
    <xf numFmtId="0" fontId="1" fillId="0" borderId="1" xfId="0" applyFont="1" applyBorder="1" applyAlignment="1">
      <alignment vertical="top" wrapText="1"/>
    </xf>
    <xf numFmtId="0" fontId="0" fillId="0" borderId="1" xfId="0" applyBorder="1" applyAlignment="1">
      <alignment vertical="top" wrapText="1"/>
    </xf>
    <xf numFmtId="0" fontId="9" fillId="16" borderId="1" xfId="0" applyFont="1" applyFill="1" applyBorder="1" applyAlignment="1">
      <alignment horizontal="left" vertical="center"/>
    </xf>
    <xf numFmtId="2" fontId="0" fillId="16" borderId="1" xfId="0" applyNumberFormat="1" applyFill="1" applyBorder="1" applyAlignment="1">
      <alignment horizontal="center" vertical="center"/>
    </xf>
    <xf numFmtId="0" fontId="60" fillId="5" borderId="1" xfId="0" applyFont="1" applyFill="1" applyBorder="1" applyAlignment="1">
      <alignment vertical="top" wrapText="1"/>
    </xf>
    <xf numFmtId="0" fontId="60" fillId="5" borderId="1" xfId="0" applyFont="1" applyFill="1" applyBorder="1" applyAlignment="1">
      <alignment vertical="center" wrapText="1"/>
    </xf>
    <xf numFmtId="0" fontId="0" fillId="0" borderId="1" xfId="0" applyBorder="1" applyAlignment="1">
      <alignment horizontal="center" vertical="top" wrapText="1"/>
    </xf>
    <xf numFmtId="0" fontId="1" fillId="0" borderId="1" xfId="0" applyFont="1" applyBorder="1" applyAlignment="1">
      <alignment horizontal="left" vertical="center" wrapText="1"/>
    </xf>
    <xf numFmtId="0" fontId="9" fillId="13" borderId="1" xfId="0" applyFont="1" applyFill="1" applyBorder="1" applyAlignment="1" applyProtection="1">
      <alignment horizontal="left" vertical="top" wrapText="1"/>
      <protection locked="0"/>
    </xf>
  </cellXfs>
  <cellStyles count="7">
    <cellStyle name="Comma" xfId="1" builtinId="3"/>
    <cellStyle name="Comma [0]" xfId="2" builtinId="6"/>
    <cellStyle name="Comma 2" xfId="5" xr:uid="{00000000-0005-0000-0000-000032000000}"/>
    <cellStyle name="Hyperlink 2" xfId="6" xr:uid="{00000000-0005-0000-0000-000033000000}"/>
    <cellStyle name="Normal" xfId="0" builtinId="0"/>
    <cellStyle name="Percent" xfId="3" builtinId="5"/>
    <cellStyle name="Percent 2" xfId="4" xr:uid="{00000000-0005-0000-0000-00002B000000}"/>
  </cellStyles>
  <dxfs count="80">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color theme="0"/>
      </font>
      <fill>
        <patternFill patternType="solid">
          <bgColor rgb="FF00B050"/>
        </patternFill>
      </fill>
    </dxf>
    <dxf>
      <font>
        <b/>
        <i val="0"/>
        <color theme="0"/>
      </font>
      <fill>
        <patternFill patternType="solid">
          <bgColor rgb="FFFF0000"/>
        </patternFill>
      </fill>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ill>
        <patternFill patternType="solid">
          <bgColor theme="0" tint="-0.14993743705557422"/>
        </patternFill>
      </fill>
    </dxf>
    <dxf>
      <fill>
        <patternFill patternType="solid">
          <bgColor theme="0" tint="-0.14993743705557422"/>
        </patternFill>
      </fill>
    </dxf>
    <dxf>
      <fill>
        <patternFill patternType="solid">
          <bgColor theme="0" tint="-0.14993743705557422"/>
        </patternFill>
      </fill>
    </dxf>
    <dxf>
      <fill>
        <patternFill patternType="solid">
          <bgColor theme="0" tint="-0.14993743705557422"/>
        </patternFill>
      </fill>
    </dxf>
    <dxf>
      <fill>
        <patternFill patternType="solid">
          <bgColor theme="1"/>
        </patternFill>
      </fill>
    </dxf>
    <dxf>
      <font>
        <color theme="0"/>
      </font>
      <fill>
        <patternFill patternType="solid">
          <bgColor rgb="FFFF0000"/>
        </patternFill>
      </fill>
    </dxf>
    <dxf>
      <font>
        <color theme="0"/>
      </font>
      <fill>
        <patternFill patternType="solid">
          <bgColor rgb="FFFF0000"/>
        </patternFill>
      </fill>
    </dxf>
    <dxf>
      <fill>
        <patternFill patternType="solid">
          <bgColor theme="0" tint="-0.14993743705557422"/>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
      <font>
        <color theme="0"/>
      </font>
      <fill>
        <patternFill patternType="solid">
          <bgColor rgb="FFFF0000"/>
        </patternFill>
      </fill>
    </dxf>
  </dxfs>
  <tableStyles count="0" defaultTableStyle="TableStyleMedium9" defaultPivotStyle="PivotStyleLight16"/>
  <colors>
    <mruColors>
      <color rgb="FF66FF33"/>
      <color rgb="FF008080"/>
      <color rgb="FF00FF00"/>
      <color rgb="FFFF66FF"/>
      <color rgb="FFD48B6A"/>
      <color rgb="FFCD79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4"/>
  <dimension ref="A1:V25"/>
  <sheetViews>
    <sheetView zoomScale="80" zoomScaleNormal="80" workbookViewId="0">
      <selection activeCell="Z19" sqref="Z19"/>
    </sheetView>
  </sheetViews>
  <sheetFormatPr defaultColWidth="8.42578125" defaultRowHeight="15" customHeight="1"/>
  <cols>
    <col min="1" max="1" width="3.42578125" style="15" customWidth="1"/>
    <col min="2" max="8" width="8.42578125" style="15" customWidth="1"/>
    <col min="9" max="9" width="3.85546875" style="15" customWidth="1"/>
    <col min="10" max="21" width="8.42578125" style="15" customWidth="1"/>
    <col min="22" max="22" width="2.42578125" style="15" customWidth="1"/>
    <col min="23" max="16384" width="8.42578125" style="15"/>
  </cols>
  <sheetData>
    <row r="1" spans="1:22" ht="15" customHeight="1">
      <c r="A1" s="232"/>
      <c r="B1" s="232"/>
      <c r="C1" s="232"/>
      <c r="D1" s="233"/>
      <c r="E1" s="233"/>
      <c r="F1" s="233"/>
      <c r="G1" s="233"/>
      <c r="H1" s="234"/>
      <c r="I1" s="234"/>
      <c r="J1" s="234"/>
      <c r="K1" s="234"/>
      <c r="L1" s="233"/>
      <c r="M1" s="233"/>
      <c r="N1" s="233"/>
      <c r="O1" s="233"/>
      <c r="P1" s="233"/>
      <c r="Q1" s="233"/>
      <c r="R1" s="233"/>
      <c r="S1" s="233"/>
      <c r="T1" s="233"/>
      <c r="U1" s="233"/>
      <c r="V1" s="233"/>
    </row>
    <row r="2" spans="1:22" ht="27" customHeight="1">
      <c r="A2" s="310" t="s">
        <v>0</v>
      </c>
      <c r="B2" s="310"/>
      <c r="C2" s="310"/>
      <c r="D2" s="310"/>
      <c r="E2" s="310"/>
      <c r="F2" s="310"/>
      <c r="G2" s="310"/>
      <c r="H2" s="310"/>
      <c r="I2" s="310"/>
      <c r="J2" s="310"/>
      <c r="K2" s="310"/>
      <c r="L2" s="310"/>
      <c r="M2" s="310"/>
      <c r="N2" s="310"/>
      <c r="O2" s="310"/>
      <c r="P2" s="310"/>
      <c r="Q2" s="310"/>
      <c r="R2" s="310"/>
      <c r="S2" s="310"/>
      <c r="T2" s="310"/>
      <c r="U2" s="310"/>
      <c r="V2" s="310"/>
    </row>
    <row r="3" spans="1:22" ht="27" customHeight="1">
      <c r="A3" s="311" t="s">
        <v>1</v>
      </c>
      <c r="B3" s="311"/>
      <c r="C3" s="311"/>
      <c r="D3" s="311"/>
      <c r="E3" s="311"/>
      <c r="F3" s="311"/>
      <c r="G3" s="311"/>
      <c r="H3" s="311"/>
      <c r="I3" s="311"/>
      <c r="J3" s="311"/>
      <c r="K3" s="311"/>
      <c r="L3" s="311"/>
      <c r="M3" s="311"/>
      <c r="N3" s="311"/>
      <c r="O3" s="311"/>
      <c r="P3" s="311"/>
      <c r="Q3" s="311"/>
      <c r="R3" s="311"/>
      <c r="S3" s="311"/>
      <c r="T3" s="311"/>
      <c r="U3" s="311"/>
      <c r="V3" s="311"/>
    </row>
    <row r="4" spans="1:22" ht="15" customHeight="1">
      <c r="A4" s="233"/>
      <c r="B4" s="233"/>
      <c r="C4" s="233"/>
      <c r="D4" s="233"/>
      <c r="E4" s="233"/>
      <c r="F4" s="233"/>
      <c r="G4" s="235"/>
      <c r="H4" s="235"/>
      <c r="I4" s="235"/>
      <c r="J4" s="235"/>
      <c r="K4" s="235"/>
      <c r="L4" s="235"/>
      <c r="M4" s="235"/>
      <c r="N4" s="235"/>
      <c r="O4" s="235"/>
      <c r="P4" s="235"/>
      <c r="Q4" s="233"/>
      <c r="R4" s="233"/>
      <c r="S4" s="233"/>
      <c r="T4" s="233"/>
      <c r="U4" s="233"/>
      <c r="V4" s="233"/>
    </row>
    <row r="5" spans="1:22" ht="26.45" customHeight="1">
      <c r="A5" s="312" t="s">
        <v>2</v>
      </c>
      <c r="B5" s="312"/>
      <c r="C5" s="312"/>
      <c r="D5" s="312"/>
      <c r="E5" s="312"/>
      <c r="F5" s="312"/>
      <c r="G5" s="312"/>
      <c r="H5" s="312"/>
      <c r="I5" s="312"/>
      <c r="J5" s="312"/>
      <c r="K5" s="312"/>
      <c r="L5" s="312"/>
      <c r="M5" s="312"/>
      <c r="N5" s="312"/>
      <c r="O5" s="312"/>
      <c r="P5" s="312"/>
      <c r="Q5" s="312"/>
      <c r="R5" s="312"/>
      <c r="S5" s="312"/>
      <c r="T5" s="312"/>
      <c r="U5" s="312"/>
      <c r="V5" s="312"/>
    </row>
    <row r="6" spans="1:22" ht="15" customHeight="1">
      <c r="A6" s="233"/>
      <c r="B6" s="233"/>
      <c r="C6" s="233"/>
      <c r="D6" s="233"/>
      <c r="E6" s="233"/>
      <c r="F6" s="233"/>
      <c r="G6" s="235"/>
      <c r="H6" s="235"/>
      <c r="I6" s="235"/>
      <c r="J6" s="235"/>
      <c r="K6" s="235"/>
      <c r="L6" s="235"/>
      <c r="M6" s="235"/>
      <c r="N6" s="235"/>
      <c r="O6" s="235"/>
      <c r="P6" s="235"/>
      <c r="Q6" s="233"/>
      <c r="R6" s="233"/>
      <c r="S6" s="233"/>
      <c r="T6" s="233"/>
      <c r="U6" s="233"/>
      <c r="V6" s="233"/>
    </row>
    <row r="7" spans="1:22" s="231" customFormat="1" ht="24" customHeight="1">
      <c r="A7" s="233"/>
      <c r="B7" s="236"/>
      <c r="C7" s="237" t="s">
        <v>3</v>
      </c>
      <c r="D7" s="238"/>
      <c r="E7" s="236"/>
      <c r="F7" s="238"/>
      <c r="G7" s="238" t="s">
        <v>4</v>
      </c>
      <c r="H7" s="313" t="s">
        <v>5</v>
      </c>
      <c r="I7" s="313"/>
      <c r="J7" s="313"/>
      <c r="K7" s="313"/>
      <c r="L7" s="313"/>
      <c r="M7" s="313"/>
      <c r="N7" s="313"/>
      <c r="O7" s="313"/>
      <c r="P7" s="313"/>
      <c r="Q7" s="313"/>
      <c r="R7" s="313"/>
      <c r="S7" s="313"/>
      <c r="T7" s="313"/>
      <c r="U7" s="313"/>
      <c r="V7" s="236"/>
    </row>
    <row r="8" spans="1:22" s="231" customFormat="1" ht="5.85" customHeight="1">
      <c r="A8" s="233"/>
      <c r="B8" s="236"/>
      <c r="C8" s="236"/>
      <c r="D8" s="238"/>
      <c r="E8" s="236"/>
      <c r="F8" s="238"/>
      <c r="G8" s="238"/>
      <c r="H8" s="238"/>
      <c r="I8" s="238"/>
      <c r="J8" s="238"/>
      <c r="K8" s="238"/>
      <c r="L8" s="238"/>
      <c r="M8" s="238"/>
      <c r="N8" s="238"/>
      <c r="O8" s="238"/>
      <c r="P8" s="238"/>
      <c r="Q8" s="238"/>
      <c r="R8" s="238"/>
      <c r="S8" s="238"/>
      <c r="T8" s="238"/>
      <c r="U8" s="238"/>
      <c r="V8" s="236"/>
    </row>
    <row r="9" spans="1:22" s="231" customFormat="1" ht="24" customHeight="1">
      <c r="A9" s="233"/>
      <c r="B9" s="236"/>
      <c r="C9" s="237" t="s">
        <v>6</v>
      </c>
      <c r="D9" s="238"/>
      <c r="E9" s="236"/>
      <c r="F9" s="238"/>
      <c r="G9" s="238" t="s">
        <v>4</v>
      </c>
      <c r="H9" s="307" t="s">
        <v>5</v>
      </c>
      <c r="I9" s="307"/>
      <c r="J9" s="307"/>
      <c r="K9" s="307"/>
      <c r="L9" s="307"/>
      <c r="M9" s="307"/>
      <c r="N9" s="307"/>
      <c r="O9" s="307"/>
      <c r="P9" s="307"/>
      <c r="Q9" s="307"/>
      <c r="R9" s="307"/>
      <c r="S9" s="236"/>
      <c r="T9" s="236"/>
      <c r="U9" s="236"/>
      <c r="V9" s="236"/>
    </row>
    <row r="10" spans="1:22" s="231" customFormat="1" ht="5.85" customHeight="1">
      <c r="A10" s="233"/>
      <c r="B10" s="236"/>
      <c r="C10" s="236"/>
      <c r="D10" s="238"/>
      <c r="E10" s="236"/>
      <c r="F10" s="238"/>
      <c r="G10" s="238"/>
      <c r="H10" s="238"/>
      <c r="I10" s="238"/>
      <c r="J10" s="238"/>
      <c r="K10" s="238"/>
      <c r="L10" s="238"/>
      <c r="M10" s="238"/>
      <c r="N10" s="238"/>
      <c r="O10" s="238"/>
      <c r="P10" s="238"/>
      <c r="Q10" s="238"/>
      <c r="R10" s="238"/>
      <c r="S10" s="238"/>
      <c r="T10" s="238"/>
      <c r="U10" s="238"/>
      <c r="V10" s="236"/>
    </row>
    <row r="11" spans="1:22" s="231" customFormat="1" ht="24" customHeight="1">
      <c r="A11" s="233"/>
      <c r="B11" s="236"/>
      <c r="C11" s="237" t="s">
        <v>7</v>
      </c>
      <c r="D11" s="238"/>
      <c r="E11" s="236"/>
      <c r="F11" s="238"/>
      <c r="G11" s="238" t="s">
        <v>4</v>
      </c>
      <c r="H11" s="307" t="s">
        <v>5</v>
      </c>
      <c r="I11" s="307"/>
      <c r="J11" s="307"/>
      <c r="K11" s="307"/>
      <c r="L11" s="307"/>
      <c r="M11" s="307"/>
      <c r="N11" s="307"/>
      <c r="O11" s="307"/>
      <c r="P11" s="307"/>
      <c r="Q11" s="307"/>
      <c r="R11" s="307"/>
      <c r="S11" s="236"/>
      <c r="T11" s="236"/>
      <c r="U11" s="236"/>
      <c r="V11" s="236"/>
    </row>
    <row r="12" spans="1:22" s="231" customFormat="1" ht="5.85" customHeight="1">
      <c r="A12" s="233"/>
      <c r="B12" s="236"/>
      <c r="C12" s="236"/>
      <c r="D12" s="238"/>
      <c r="E12" s="236"/>
      <c r="F12" s="238"/>
      <c r="G12" s="238"/>
      <c r="H12" s="238"/>
      <c r="I12" s="238"/>
      <c r="J12" s="238" t="s">
        <v>5</v>
      </c>
      <c r="K12" s="238"/>
      <c r="L12" s="238"/>
      <c r="M12" s="238"/>
      <c r="N12" s="238"/>
      <c r="O12" s="238"/>
      <c r="P12" s="238"/>
      <c r="Q12" s="238"/>
      <c r="R12" s="238"/>
      <c r="S12" s="238"/>
      <c r="T12" s="238"/>
      <c r="U12" s="238"/>
      <c r="V12" s="236"/>
    </row>
    <row r="13" spans="1:22" s="231" customFormat="1" ht="24" customHeight="1">
      <c r="A13" s="233"/>
      <c r="B13" s="236"/>
      <c r="C13" s="237" t="s">
        <v>8</v>
      </c>
      <c r="D13" s="238"/>
      <c r="E13" s="236"/>
      <c r="F13" s="238"/>
      <c r="G13" s="238" t="s">
        <v>4</v>
      </c>
      <c r="H13" s="239"/>
      <c r="I13" s="239"/>
      <c r="J13" s="239"/>
      <c r="K13" s="247"/>
      <c r="L13" s="247"/>
      <c r="M13" s="247"/>
      <c r="N13" s="247"/>
      <c r="O13" s="247"/>
      <c r="P13" s="247"/>
      <c r="Q13" s="247"/>
      <c r="R13" s="236"/>
      <c r="S13" s="236"/>
      <c r="T13" s="236"/>
      <c r="U13" s="236"/>
      <c r="V13" s="236"/>
    </row>
    <row r="14" spans="1:22" ht="5.85" customHeight="1">
      <c r="A14" s="233"/>
      <c r="B14" s="233"/>
      <c r="C14" s="233"/>
      <c r="D14" s="240"/>
      <c r="E14" s="233"/>
      <c r="F14" s="233"/>
      <c r="G14" s="233"/>
      <c r="H14" s="233"/>
      <c r="I14" s="233"/>
      <c r="J14" s="233"/>
      <c r="K14" s="233"/>
      <c r="L14" s="248"/>
      <c r="M14" s="248"/>
      <c r="N14" s="248"/>
      <c r="O14" s="248"/>
      <c r="P14" s="248"/>
      <c r="Q14" s="248"/>
      <c r="R14" s="233"/>
      <c r="S14" s="233"/>
      <c r="T14" s="233"/>
      <c r="U14" s="233"/>
      <c r="V14" s="233"/>
    </row>
    <row r="15" spans="1:22" s="231" customFormat="1" ht="24" customHeight="1">
      <c r="A15" s="233"/>
      <c r="B15" s="236"/>
      <c r="C15" s="237" t="s">
        <v>9</v>
      </c>
      <c r="D15" s="238"/>
      <c r="E15" s="236"/>
      <c r="F15" s="238"/>
      <c r="G15" s="238" t="s">
        <v>4</v>
      </c>
      <c r="H15" s="241">
        <v>2017</v>
      </c>
      <c r="I15" s="254" t="s">
        <v>10</v>
      </c>
      <c r="J15" s="241">
        <v>2018</v>
      </c>
      <c r="K15" s="247"/>
      <c r="L15" s="249" t="s">
        <v>11</v>
      </c>
      <c r="M15" s="250" t="s">
        <v>12</v>
      </c>
      <c r="N15" s="251">
        <v>3</v>
      </c>
      <c r="O15" s="247"/>
      <c r="P15" s="247"/>
      <c r="Q15" s="247"/>
      <c r="R15" s="236"/>
      <c r="S15" s="236"/>
      <c r="T15" s="236"/>
      <c r="U15" s="236"/>
      <c r="V15" s="236"/>
    </row>
    <row r="16" spans="1:22" ht="24" customHeight="1">
      <c r="A16" s="233"/>
      <c r="B16" s="233"/>
      <c r="C16" s="242" t="s">
        <v>13</v>
      </c>
      <c r="D16" s="233"/>
      <c r="E16" s="233"/>
      <c r="F16" s="233"/>
      <c r="G16" s="233"/>
      <c r="H16" s="233"/>
      <c r="I16" s="233"/>
      <c r="J16" s="233"/>
      <c r="K16" s="233"/>
      <c r="L16" s="248"/>
      <c r="M16" s="248"/>
      <c r="N16" s="248"/>
      <c r="O16" s="248"/>
      <c r="P16" s="248"/>
      <c r="Q16" s="248"/>
      <c r="R16" s="233"/>
      <c r="S16" s="233"/>
      <c r="T16" s="233"/>
      <c r="U16" s="233"/>
      <c r="V16" s="233"/>
    </row>
    <row r="17" spans="1:22" s="231" customFormat="1" ht="24" customHeight="1">
      <c r="A17" s="233"/>
      <c r="B17" s="233"/>
      <c r="C17" s="243"/>
      <c r="D17" s="240"/>
      <c r="E17" s="233"/>
      <c r="F17" s="233"/>
      <c r="G17" s="233"/>
      <c r="H17" s="233"/>
      <c r="I17" s="233"/>
      <c r="J17" s="233"/>
      <c r="K17" s="233"/>
      <c r="L17" s="308" t="s">
        <v>14</v>
      </c>
      <c r="M17" s="308"/>
      <c r="N17" s="308"/>
      <c r="O17" s="308"/>
      <c r="P17" s="308"/>
      <c r="Q17" s="308"/>
      <c r="R17" s="308"/>
      <c r="S17" s="308"/>
      <c r="T17" s="308"/>
      <c r="U17" s="308"/>
      <c r="V17" s="253"/>
    </row>
    <row r="18" spans="1:22" s="231" customFormat="1" ht="24" customHeight="1">
      <c r="A18" s="233"/>
      <c r="B18" s="233"/>
      <c r="C18" s="233"/>
      <c r="D18" s="240"/>
      <c r="E18" s="233"/>
      <c r="F18" s="233"/>
      <c r="G18" s="233"/>
      <c r="H18" s="233"/>
      <c r="I18" s="233"/>
      <c r="J18" s="233"/>
      <c r="K18" s="233"/>
      <c r="L18" s="309" t="s">
        <v>15</v>
      </c>
      <c r="M18" s="309"/>
      <c r="N18" s="309"/>
      <c r="O18" s="309"/>
      <c r="P18" s="309"/>
      <c r="Q18" s="309"/>
      <c r="R18" s="309"/>
      <c r="S18" s="309"/>
      <c r="T18" s="309"/>
      <c r="U18" s="309"/>
      <c r="V18" s="252"/>
    </row>
    <row r="19" spans="1:22" ht="24" customHeight="1">
      <c r="A19" s="233"/>
      <c r="B19" s="233"/>
      <c r="C19" s="233"/>
      <c r="D19" s="240"/>
      <c r="E19" s="233"/>
      <c r="F19" s="233"/>
      <c r="G19" s="233"/>
      <c r="H19" s="233"/>
      <c r="I19" s="233"/>
      <c r="J19" s="233"/>
      <c r="K19" s="233"/>
      <c r="L19" s="233"/>
      <c r="M19" s="233"/>
      <c r="N19" s="233"/>
      <c r="O19" s="233"/>
      <c r="P19" s="233"/>
      <c r="Q19" s="233"/>
      <c r="R19" s="233"/>
      <c r="S19" s="233"/>
      <c r="T19" s="233"/>
      <c r="U19" s="233"/>
      <c r="V19" s="233"/>
    </row>
    <row r="20" spans="1:22" s="231" customFormat="1" ht="24" customHeight="1">
      <c r="A20" s="233"/>
      <c r="B20" s="233"/>
      <c r="C20" s="233"/>
      <c r="D20" s="240"/>
      <c r="E20" s="233"/>
      <c r="F20" s="233"/>
      <c r="G20" s="233"/>
      <c r="H20" s="233"/>
      <c r="I20" s="233"/>
      <c r="J20" s="233"/>
      <c r="K20" s="233"/>
      <c r="L20" s="237" t="s">
        <v>16</v>
      </c>
      <c r="M20" s="238"/>
      <c r="N20" s="236"/>
      <c r="O20" s="238" t="s">
        <v>4</v>
      </c>
      <c r="P20" s="307" t="s">
        <v>5</v>
      </c>
      <c r="Q20" s="307"/>
      <c r="R20" s="307"/>
      <c r="S20" s="307"/>
      <c r="T20" s="307"/>
      <c r="U20" s="307"/>
      <c r="V20" s="236"/>
    </row>
    <row r="21" spans="1:22" s="231" customFormat="1" ht="4.5" customHeight="1">
      <c r="A21" s="233"/>
      <c r="B21" s="233"/>
      <c r="C21" s="233"/>
      <c r="D21" s="240"/>
      <c r="E21" s="233"/>
      <c r="F21" s="233"/>
      <c r="G21" s="233"/>
      <c r="H21" s="233"/>
      <c r="I21" s="233"/>
      <c r="J21" s="233"/>
      <c r="K21" s="233"/>
      <c r="L21" s="236"/>
      <c r="M21" s="238"/>
      <c r="N21" s="236"/>
      <c r="O21" s="238"/>
      <c r="P21" s="238"/>
      <c r="Q21" s="238"/>
      <c r="R21" s="238"/>
      <c r="S21" s="238"/>
      <c r="T21" s="238"/>
      <c r="U21" s="233"/>
      <c r="V21" s="236"/>
    </row>
    <row r="22" spans="1:22" s="231" customFormat="1" ht="24" customHeight="1">
      <c r="A22" s="233"/>
      <c r="B22" s="242"/>
      <c r="C22" s="233"/>
      <c r="D22" s="240"/>
      <c r="E22" s="233"/>
      <c r="F22" s="233"/>
      <c r="G22" s="233"/>
      <c r="H22" s="233"/>
      <c r="I22" s="233"/>
      <c r="J22" s="233"/>
      <c r="K22" s="233"/>
      <c r="L22" s="237" t="s">
        <v>17</v>
      </c>
      <c r="M22" s="238"/>
      <c r="N22" s="236"/>
      <c r="O22" s="238" t="s">
        <v>4</v>
      </c>
      <c r="P22" s="307" t="s">
        <v>5</v>
      </c>
      <c r="Q22" s="307"/>
      <c r="R22" s="307"/>
      <c r="S22" s="307"/>
      <c r="T22" s="233"/>
      <c r="U22" s="233"/>
      <c r="V22" s="236"/>
    </row>
    <row r="23" spans="1:22" ht="4.5" customHeight="1">
      <c r="A23" s="233"/>
      <c r="B23" s="233"/>
      <c r="C23" s="233"/>
      <c r="D23" s="240"/>
      <c r="E23" s="233"/>
      <c r="F23" s="233"/>
      <c r="G23" s="233"/>
      <c r="H23" s="233"/>
      <c r="I23" s="233"/>
      <c r="J23" s="233"/>
      <c r="K23" s="233"/>
      <c r="L23" s="236"/>
      <c r="M23" s="238"/>
      <c r="N23" s="236"/>
      <c r="O23" s="238"/>
      <c r="P23" s="238"/>
      <c r="Q23" s="238"/>
      <c r="R23" s="238"/>
      <c r="S23" s="238"/>
      <c r="T23" s="233"/>
      <c r="U23" s="233"/>
      <c r="V23" s="233"/>
    </row>
    <row r="24" spans="1:22" ht="24" customHeight="1">
      <c r="A24" s="233"/>
      <c r="B24" s="244" t="s">
        <v>18</v>
      </c>
      <c r="C24" s="245" t="s">
        <v>19</v>
      </c>
      <c r="D24" s="240"/>
      <c r="E24" s="233"/>
      <c r="F24" s="233"/>
      <c r="G24" s="233"/>
      <c r="H24" s="233"/>
      <c r="I24" s="233"/>
      <c r="J24" s="233"/>
      <c r="K24" s="233"/>
      <c r="L24" s="237" t="s">
        <v>20</v>
      </c>
      <c r="M24" s="238"/>
      <c r="N24" s="236"/>
      <c r="O24" s="238" t="s">
        <v>4</v>
      </c>
      <c r="P24" s="306" t="s">
        <v>5</v>
      </c>
      <c r="Q24" s="306"/>
      <c r="R24" s="306"/>
      <c r="S24" s="233"/>
      <c r="T24" s="233"/>
      <c r="U24" s="233"/>
      <c r="V24" s="233"/>
    </row>
    <row r="25" spans="1:22" ht="15" customHeight="1">
      <c r="A25" s="233"/>
      <c r="B25" s="246"/>
      <c r="C25" s="233"/>
      <c r="D25" s="233"/>
      <c r="E25" s="233"/>
      <c r="F25" s="233"/>
      <c r="G25" s="233"/>
      <c r="H25" s="233"/>
      <c r="I25" s="233"/>
      <c r="J25" s="233"/>
      <c r="K25" s="233"/>
      <c r="L25" s="233"/>
      <c r="M25" s="233"/>
      <c r="N25" s="233"/>
      <c r="O25" s="233"/>
      <c r="P25" s="233"/>
      <c r="Q25" s="233"/>
      <c r="R25" s="233"/>
      <c r="S25" s="233"/>
      <c r="T25" s="233"/>
      <c r="U25" s="233"/>
      <c r="V25" s="233"/>
    </row>
  </sheetData>
  <protectedRanges>
    <protectedRange sqref="P24" name="Tanggal Penilaian"/>
    <protectedRange sqref="P22" name="Kota Penilaian"/>
    <protectedRange sqref="P20" name="Nama Asesor"/>
    <protectedRange sqref="H15 J15 H13:J13" name="Kode Panel"/>
    <protectedRange sqref="H7:K7" name="Nama PT"/>
    <protectedRange sqref="H9:M9 H11:K11" name="Nama Program Studi_2"/>
  </protectedRanges>
  <mergeCells count="11">
    <mergeCell ref="A2:V2"/>
    <mergeCell ref="A3:V3"/>
    <mergeCell ref="A5:V5"/>
    <mergeCell ref="H7:U7"/>
    <mergeCell ref="H9:R9"/>
    <mergeCell ref="P24:R24"/>
    <mergeCell ref="H11:R11"/>
    <mergeCell ref="L17:U17"/>
    <mergeCell ref="L18:U18"/>
    <mergeCell ref="P20:U20"/>
    <mergeCell ref="P22:S22"/>
  </mergeCells>
  <dataValidations count="1">
    <dataValidation type="list" allowBlank="1" showInputMessage="1" showErrorMessage="1" sqref="H10:K10" xr:uid="{00000000-0002-0000-0000-000000000000}">
      <formula1>#REF!</formula1>
    </dataValidation>
  </dataValidation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972"/>
  <sheetViews>
    <sheetView tabSelected="1" zoomScale="80" zoomScaleNormal="80" workbookViewId="0">
      <pane xSplit="1" ySplit="6" topLeftCell="B190" activePane="bottomRight" state="frozen"/>
      <selection pane="topRight"/>
      <selection pane="bottomLeft"/>
      <selection pane="bottomRight" activeCell="H195" sqref="H195"/>
    </sheetView>
  </sheetViews>
  <sheetFormatPr defaultColWidth="9.140625" defaultRowHeight="15"/>
  <cols>
    <col min="1" max="1" width="6.42578125" style="40" customWidth="1"/>
    <col min="2" max="2" width="12.7109375" style="40" customWidth="1"/>
    <col min="3" max="3" width="16.140625" style="40" customWidth="1"/>
    <col min="4" max="4" width="5.140625" style="15" customWidth="1"/>
    <col min="5" max="5" width="58.42578125" style="48" customWidth="1"/>
    <col min="6" max="6" width="15.42578125" style="15" customWidth="1"/>
    <col min="7" max="8" width="8.42578125" style="15" customWidth="1"/>
    <col min="9" max="9" width="21.7109375" style="15" customWidth="1"/>
    <col min="10" max="10" width="4.42578125" style="15" customWidth="1"/>
    <col min="11" max="11" width="60.42578125" style="40" customWidth="1"/>
    <col min="12" max="16384" width="9.140625" style="15"/>
  </cols>
  <sheetData>
    <row r="1" spans="1:11" ht="15.75" customHeight="1">
      <c r="A1" s="451" t="s">
        <v>706</v>
      </c>
      <c r="B1" s="451"/>
      <c r="C1" s="451"/>
      <c r="D1" s="451"/>
      <c r="E1" s="451"/>
      <c r="F1" s="451"/>
      <c r="G1" s="451"/>
      <c r="H1" s="451"/>
      <c r="I1" s="451"/>
      <c r="J1" s="271"/>
      <c r="K1" s="444" t="s">
        <v>707</v>
      </c>
    </row>
    <row r="2" spans="1:11" ht="15.75" customHeight="1">
      <c r="A2" s="451" t="s">
        <v>2</v>
      </c>
      <c r="B2" s="451"/>
      <c r="C2" s="451"/>
      <c r="D2" s="451"/>
      <c r="E2" s="451"/>
      <c r="F2" s="451"/>
      <c r="G2" s="451"/>
      <c r="H2" s="451"/>
      <c r="I2" s="451"/>
      <c r="J2" s="271"/>
      <c r="K2" s="444"/>
    </row>
    <row r="3" spans="1:11" ht="15.75">
      <c r="A3" s="49"/>
      <c r="B3" s="49"/>
      <c r="C3" s="49"/>
      <c r="D3" s="49"/>
      <c r="E3" s="49"/>
      <c r="F3" s="49"/>
      <c r="G3" s="49"/>
      <c r="H3" s="49"/>
      <c r="I3" s="49"/>
      <c r="J3" s="271"/>
      <c r="K3" s="444"/>
    </row>
    <row r="4" spans="1:11" ht="15.75">
      <c r="A4" s="50" t="s">
        <v>21</v>
      </c>
      <c r="B4" s="50"/>
      <c r="C4" s="50"/>
      <c r="D4" s="50"/>
      <c r="E4" s="50"/>
      <c r="F4" s="50"/>
      <c r="G4" s="50"/>
      <c r="H4" s="50"/>
      <c r="I4" s="50"/>
      <c r="J4" s="271"/>
      <c r="K4" s="444"/>
    </row>
    <row r="5" spans="1:11" ht="15.75" thickBot="1">
      <c r="A5" s="8"/>
      <c r="B5" s="8"/>
      <c r="C5" s="51"/>
      <c r="D5" s="51"/>
      <c r="E5" s="52"/>
      <c r="F5" s="51"/>
      <c r="G5" s="51"/>
      <c r="H5" s="51"/>
      <c r="I5" s="51"/>
      <c r="J5" s="281"/>
      <c r="K5" s="51"/>
    </row>
    <row r="6" spans="1:11" ht="33" customHeight="1" thickBot="1">
      <c r="A6" s="53" t="s">
        <v>22</v>
      </c>
      <c r="B6" s="55" t="s">
        <v>663</v>
      </c>
      <c r="C6" s="54" t="s">
        <v>23</v>
      </c>
      <c r="D6" s="445" t="s">
        <v>24</v>
      </c>
      <c r="E6" s="446"/>
      <c r="F6" s="277" t="s">
        <v>25</v>
      </c>
      <c r="G6" s="278" t="s">
        <v>683</v>
      </c>
      <c r="H6" s="278" t="s">
        <v>611</v>
      </c>
      <c r="I6" s="278" t="s">
        <v>666</v>
      </c>
      <c r="J6" s="282"/>
      <c r="K6" s="56" t="s">
        <v>26</v>
      </c>
    </row>
    <row r="7" spans="1:11" ht="21" customHeight="1" thickBot="1">
      <c r="A7" s="452" t="s">
        <v>710</v>
      </c>
      <c r="B7" s="453"/>
      <c r="C7" s="453"/>
      <c r="D7" s="453"/>
      <c r="E7" s="453"/>
      <c r="F7" s="453"/>
      <c r="G7" s="453"/>
      <c r="H7" s="453"/>
      <c r="I7" s="453"/>
      <c r="J7" s="454"/>
      <c r="K7" s="455"/>
    </row>
    <row r="8" spans="1:11" ht="48" customHeight="1" thickBot="1">
      <c r="A8" s="373" t="s">
        <v>708</v>
      </c>
      <c r="B8" s="449" t="s">
        <v>709</v>
      </c>
      <c r="C8" s="285" t="s">
        <v>664</v>
      </c>
      <c r="D8" s="59">
        <v>1</v>
      </c>
      <c r="E8" s="272" t="s">
        <v>665</v>
      </c>
      <c r="F8" s="286">
        <v>4</v>
      </c>
      <c r="G8" s="287" t="str">
        <f>IF(OR(ISBLANK(F8),F8&gt;4),"Salah isi","judge")</f>
        <v>judge</v>
      </c>
      <c r="H8" s="288">
        <v>1.2</v>
      </c>
      <c r="I8" s="289">
        <f>(F8/4)*H8</f>
        <v>1.2</v>
      </c>
      <c r="J8" s="271"/>
      <c r="K8" s="279" t="s">
        <v>5</v>
      </c>
    </row>
    <row r="9" spans="1:11" ht="30.75" thickBot="1">
      <c r="A9" s="373"/>
      <c r="B9" s="449"/>
      <c r="C9" s="285" t="s">
        <v>667</v>
      </c>
      <c r="D9" s="59">
        <v>2</v>
      </c>
      <c r="E9" s="270" t="s">
        <v>668</v>
      </c>
      <c r="F9" s="286">
        <v>4</v>
      </c>
      <c r="G9" s="287" t="str">
        <f>IF(OR(ISBLANK(F9),F9&gt;4),"Salah isi","judge")</f>
        <v>judge</v>
      </c>
      <c r="H9" s="290">
        <v>1.1000000000000001</v>
      </c>
      <c r="I9" s="289">
        <f t="shared" ref="I9:I16" si="0">(F9/4)*H9</f>
        <v>1.1000000000000001</v>
      </c>
      <c r="J9" s="271"/>
      <c r="K9" s="58" t="s">
        <v>5</v>
      </c>
    </row>
    <row r="10" spans="1:11" ht="30.75" thickBot="1">
      <c r="A10" s="373"/>
      <c r="B10" s="449"/>
      <c r="C10" s="285" t="s">
        <v>669</v>
      </c>
      <c r="D10" s="59">
        <v>3</v>
      </c>
      <c r="E10" s="270" t="s">
        <v>670</v>
      </c>
      <c r="F10" s="286">
        <v>4</v>
      </c>
      <c r="G10" s="287" t="str">
        <f t="shared" ref="G10:G16" si="1">IF(OR(ISBLANK(F10),F10&gt;4),"Salah isi","judge")</f>
        <v>judge</v>
      </c>
      <c r="H10" s="288">
        <v>1</v>
      </c>
      <c r="I10" s="288">
        <f t="shared" si="0"/>
        <v>1</v>
      </c>
      <c r="J10" s="271"/>
      <c r="K10" s="58" t="s">
        <v>5</v>
      </c>
    </row>
    <row r="11" spans="1:11" ht="57.75" customHeight="1" thickBot="1">
      <c r="A11" s="373"/>
      <c r="B11" s="449"/>
      <c r="C11" s="285" t="s">
        <v>671</v>
      </c>
      <c r="D11" s="59">
        <v>4</v>
      </c>
      <c r="E11" s="270" t="s">
        <v>672</v>
      </c>
      <c r="F11" s="286">
        <v>4</v>
      </c>
      <c r="G11" s="287" t="str">
        <f t="shared" si="1"/>
        <v>judge</v>
      </c>
      <c r="H11" s="291">
        <v>1.25</v>
      </c>
      <c r="I11" s="289">
        <f t="shared" si="0"/>
        <v>1.25</v>
      </c>
      <c r="J11" s="271"/>
      <c r="K11" s="58" t="s">
        <v>5</v>
      </c>
    </row>
    <row r="12" spans="1:11" ht="45.75" thickBot="1">
      <c r="A12" s="373"/>
      <c r="B12" s="449"/>
      <c r="C12" s="285" t="s">
        <v>673</v>
      </c>
      <c r="D12" s="59">
        <v>5</v>
      </c>
      <c r="E12" s="270" t="s">
        <v>674</v>
      </c>
      <c r="F12" s="286">
        <v>4</v>
      </c>
      <c r="G12" s="287" t="str">
        <f t="shared" si="1"/>
        <v>judge</v>
      </c>
      <c r="H12" s="288">
        <v>1</v>
      </c>
      <c r="I12" s="288">
        <f t="shared" si="0"/>
        <v>1</v>
      </c>
      <c r="J12" s="271"/>
      <c r="K12" s="58" t="s">
        <v>5</v>
      </c>
    </row>
    <row r="13" spans="1:11" ht="69" customHeight="1" thickBot="1">
      <c r="A13" s="373"/>
      <c r="B13" s="449"/>
      <c r="C13" s="285" t="s">
        <v>675</v>
      </c>
      <c r="D13" s="59">
        <v>6</v>
      </c>
      <c r="E13" s="270" t="s">
        <v>676</v>
      </c>
      <c r="F13" s="286">
        <v>4</v>
      </c>
      <c r="G13" s="287" t="str">
        <f t="shared" si="1"/>
        <v>judge</v>
      </c>
      <c r="H13" s="288">
        <v>1</v>
      </c>
      <c r="I13" s="288">
        <f t="shared" si="0"/>
        <v>1</v>
      </c>
      <c r="J13" s="271"/>
      <c r="K13" s="58" t="s">
        <v>5</v>
      </c>
    </row>
    <row r="14" spans="1:11" ht="79.5" customHeight="1" thickBot="1">
      <c r="A14" s="373"/>
      <c r="B14" s="449"/>
      <c r="C14" s="285" t="s">
        <v>677</v>
      </c>
      <c r="D14" s="59">
        <v>7</v>
      </c>
      <c r="E14" s="270" t="s">
        <v>678</v>
      </c>
      <c r="F14" s="286">
        <v>4</v>
      </c>
      <c r="G14" s="287" t="str">
        <f t="shared" si="1"/>
        <v>judge</v>
      </c>
      <c r="H14" s="292">
        <v>1.45</v>
      </c>
      <c r="I14" s="289">
        <f t="shared" si="0"/>
        <v>1.45</v>
      </c>
      <c r="J14" s="271"/>
      <c r="K14" s="58" t="s">
        <v>5</v>
      </c>
    </row>
    <row r="15" spans="1:11" ht="30.75" thickBot="1">
      <c r="A15" s="373"/>
      <c r="B15" s="449"/>
      <c r="C15" s="285" t="s">
        <v>679</v>
      </c>
      <c r="D15" s="59">
        <v>8</v>
      </c>
      <c r="E15" s="270" t="s">
        <v>680</v>
      </c>
      <c r="F15" s="286">
        <v>4</v>
      </c>
      <c r="G15" s="287" t="str">
        <f t="shared" si="1"/>
        <v>judge</v>
      </c>
      <c r="H15" s="288">
        <v>1</v>
      </c>
      <c r="I15" s="288">
        <f t="shared" si="0"/>
        <v>1</v>
      </c>
      <c r="J15" s="271"/>
      <c r="K15" s="58" t="s">
        <v>5</v>
      </c>
    </row>
    <row r="16" spans="1:11" ht="54.75" customHeight="1">
      <c r="A16" s="373"/>
      <c r="B16" s="449"/>
      <c r="C16" s="275" t="s">
        <v>681</v>
      </c>
      <c r="D16" s="59">
        <v>9</v>
      </c>
      <c r="E16" s="270" t="s">
        <v>682</v>
      </c>
      <c r="F16" s="286">
        <v>4</v>
      </c>
      <c r="G16" s="287" t="str">
        <f t="shared" si="1"/>
        <v>judge</v>
      </c>
      <c r="H16" s="288">
        <v>1</v>
      </c>
      <c r="I16" s="288">
        <f t="shared" si="0"/>
        <v>1</v>
      </c>
      <c r="J16" s="271"/>
      <c r="K16" s="58" t="s">
        <v>5</v>
      </c>
    </row>
    <row r="17" spans="1:11" ht="15" customHeight="1" thickBot="1">
      <c r="A17" s="374"/>
      <c r="B17" s="450"/>
      <c r="C17" s="283"/>
      <c r="D17" s="447" t="s">
        <v>27</v>
      </c>
      <c r="E17" s="447"/>
      <c r="F17" s="284">
        <f>SUM(I8:I16)</f>
        <v>10</v>
      </c>
      <c r="G17" s="271"/>
      <c r="H17" s="271"/>
      <c r="I17" s="271"/>
      <c r="J17" s="271"/>
      <c r="K17" s="280"/>
    </row>
    <row r="18" spans="1:11" ht="15" customHeight="1" thickBot="1">
      <c r="A18" s="456" t="s">
        <v>711</v>
      </c>
      <c r="B18" s="456"/>
      <c r="C18" s="456"/>
      <c r="D18" s="456"/>
      <c r="E18" s="456"/>
      <c r="F18" s="456"/>
      <c r="G18" s="456"/>
      <c r="H18" s="456"/>
      <c r="I18" s="456"/>
      <c r="J18" s="456"/>
      <c r="K18" s="456"/>
    </row>
    <row r="19" spans="1:11" ht="79.349999999999994" customHeight="1" thickBot="1">
      <c r="A19" s="373">
        <v>1</v>
      </c>
      <c r="B19" s="449" t="s">
        <v>712</v>
      </c>
      <c r="C19" s="274" t="s">
        <v>684</v>
      </c>
      <c r="D19" s="59">
        <v>10</v>
      </c>
      <c r="E19" s="272" t="s">
        <v>685</v>
      </c>
      <c r="F19" s="286">
        <v>4</v>
      </c>
      <c r="G19" s="287" t="str">
        <f>IF(OR(ISBLANK(F19),F19&gt;4),"Salah isi","judge")</f>
        <v>judge</v>
      </c>
      <c r="H19" s="288">
        <v>0.5</v>
      </c>
      <c r="I19" s="288">
        <f>(F19/4)*H19</f>
        <v>0.5</v>
      </c>
      <c r="J19" s="271"/>
      <c r="K19" s="58" t="s">
        <v>5</v>
      </c>
    </row>
    <row r="20" spans="1:11" ht="75.75" thickBot="1">
      <c r="A20" s="373"/>
      <c r="B20" s="449"/>
      <c r="C20" s="275" t="s">
        <v>686</v>
      </c>
      <c r="D20" s="59">
        <v>11</v>
      </c>
      <c r="E20" s="270" t="s">
        <v>687</v>
      </c>
      <c r="F20" s="286">
        <v>4</v>
      </c>
      <c r="G20" s="287" t="str">
        <f t="shared" ref="G20:G22" si="2">IF(OR(ISBLANK(F20),F20&gt;4),"Salah isi","judge")</f>
        <v>judge</v>
      </c>
      <c r="H20" s="288">
        <v>0.5</v>
      </c>
      <c r="I20" s="288">
        <f t="shared" ref="I20:I23" si="3">(F20/4)*H20</f>
        <v>0.5</v>
      </c>
      <c r="J20" s="271"/>
      <c r="K20" s="58" t="s">
        <v>5</v>
      </c>
    </row>
    <row r="21" spans="1:11" ht="45.75" thickBot="1">
      <c r="A21" s="373"/>
      <c r="B21" s="449"/>
      <c r="C21" s="275" t="s">
        <v>688</v>
      </c>
      <c r="D21" s="59">
        <v>12</v>
      </c>
      <c r="E21" s="270" t="s">
        <v>689</v>
      </c>
      <c r="F21" s="286">
        <v>4</v>
      </c>
      <c r="G21" s="287" t="str">
        <f t="shared" si="2"/>
        <v>judge</v>
      </c>
      <c r="H21" s="288">
        <v>0.6</v>
      </c>
      <c r="I21" s="288">
        <f t="shared" si="3"/>
        <v>0.6</v>
      </c>
      <c r="J21" s="271"/>
      <c r="K21" s="58" t="s">
        <v>5</v>
      </c>
    </row>
    <row r="22" spans="1:11" ht="75.75" thickBot="1">
      <c r="A22" s="373"/>
      <c r="B22" s="449"/>
      <c r="C22" s="275" t="s">
        <v>690</v>
      </c>
      <c r="D22" s="59">
        <v>13</v>
      </c>
      <c r="E22" s="270" t="s">
        <v>691</v>
      </c>
      <c r="F22" s="286">
        <v>4</v>
      </c>
      <c r="G22" s="287" t="str">
        <f t="shared" si="2"/>
        <v>judge</v>
      </c>
      <c r="H22" s="288">
        <v>0.7</v>
      </c>
      <c r="I22" s="288">
        <f>(F22/4)*H22</f>
        <v>0.7</v>
      </c>
      <c r="J22" s="271"/>
      <c r="K22" s="58" t="s">
        <v>5</v>
      </c>
    </row>
    <row r="23" spans="1:11" ht="60">
      <c r="A23" s="373"/>
      <c r="B23" s="449"/>
      <c r="C23" s="275" t="s">
        <v>692</v>
      </c>
      <c r="D23" s="59">
        <v>14</v>
      </c>
      <c r="E23" s="270" t="s">
        <v>693</v>
      </c>
      <c r="F23" s="286">
        <v>4</v>
      </c>
      <c r="G23" s="287" t="str">
        <f>IF(OR(ISBLANK(F23),F23&gt;4),"Salah isi","judge")</f>
        <v>judge</v>
      </c>
      <c r="H23" s="288">
        <v>0.7</v>
      </c>
      <c r="I23" s="288">
        <f t="shared" si="3"/>
        <v>0.7</v>
      </c>
      <c r="J23" s="271"/>
      <c r="K23" s="58" t="s">
        <v>5</v>
      </c>
    </row>
    <row r="24" spans="1:11" ht="15" customHeight="1">
      <c r="A24" s="373"/>
      <c r="B24" s="449"/>
      <c r="C24" s="273"/>
      <c r="D24" s="448" t="s">
        <v>27</v>
      </c>
      <c r="E24" s="448"/>
      <c r="F24" s="293">
        <f>SUM(I19:I23)</f>
        <v>3</v>
      </c>
      <c r="G24" s="294"/>
      <c r="H24" s="294"/>
      <c r="I24" s="294"/>
      <c r="J24" s="271"/>
      <c r="K24" s="280"/>
    </row>
    <row r="25" spans="1:11" ht="15" customHeight="1" thickBot="1">
      <c r="A25" s="465"/>
      <c r="B25" s="465"/>
      <c r="C25" s="465"/>
      <c r="D25" s="296"/>
      <c r="E25" s="466"/>
      <c r="F25" s="467"/>
      <c r="G25" s="271"/>
      <c r="H25" s="271"/>
      <c r="I25" s="271"/>
      <c r="J25" s="271"/>
      <c r="K25" s="280"/>
    </row>
    <row r="26" spans="1:11" ht="144" customHeight="1" thickBot="1">
      <c r="A26" s="373">
        <v>2</v>
      </c>
      <c r="B26" s="449" t="s">
        <v>713</v>
      </c>
      <c r="C26" s="285" t="s">
        <v>694</v>
      </c>
      <c r="D26" s="59">
        <v>15</v>
      </c>
      <c r="E26" s="272" t="s">
        <v>695</v>
      </c>
      <c r="F26" s="286">
        <v>4</v>
      </c>
      <c r="G26" s="287" t="str">
        <f>IF(OR(ISBLANK(F26),F26&gt;4),"Salah isi","judge")</f>
        <v>judge</v>
      </c>
      <c r="H26" s="289">
        <v>0.5</v>
      </c>
      <c r="I26" s="288">
        <f>(F26/4)*H26</f>
        <v>0.5</v>
      </c>
      <c r="J26" s="271"/>
      <c r="K26" s="58" t="s">
        <v>5</v>
      </c>
    </row>
    <row r="27" spans="1:11" ht="60.75" thickBot="1">
      <c r="A27" s="373"/>
      <c r="B27" s="449"/>
      <c r="C27" s="285" t="s">
        <v>696</v>
      </c>
      <c r="D27" s="59">
        <v>16</v>
      </c>
      <c r="E27" s="270" t="s">
        <v>697</v>
      </c>
      <c r="F27" s="286">
        <v>4</v>
      </c>
      <c r="G27" s="287" t="str">
        <f t="shared" ref="G27:G31" si="4">IF(OR(ISBLANK(F27),F27&gt;4),"Salah isi","judge")</f>
        <v>judge</v>
      </c>
      <c r="H27" s="289">
        <v>0.6</v>
      </c>
      <c r="I27" s="288">
        <f t="shared" ref="I27:I31" si="5">(F27/4)*H27</f>
        <v>0.6</v>
      </c>
      <c r="J27" s="271"/>
      <c r="K27" s="58" t="s">
        <v>5</v>
      </c>
    </row>
    <row r="28" spans="1:11" ht="165.75" thickBot="1">
      <c r="A28" s="373"/>
      <c r="B28" s="449"/>
      <c r="C28" s="285" t="s">
        <v>698</v>
      </c>
      <c r="D28" s="59">
        <v>17</v>
      </c>
      <c r="E28" s="270" t="s">
        <v>699</v>
      </c>
      <c r="F28" s="286">
        <v>4</v>
      </c>
      <c r="G28" s="287" t="str">
        <f t="shared" si="4"/>
        <v>judge</v>
      </c>
      <c r="H28" s="289">
        <v>0.8</v>
      </c>
      <c r="I28" s="288">
        <f t="shared" si="5"/>
        <v>0.8</v>
      </c>
      <c r="J28" s="271"/>
      <c r="K28" s="58" t="s">
        <v>5</v>
      </c>
    </row>
    <row r="29" spans="1:11" ht="30.75" thickBot="1">
      <c r="A29" s="373"/>
      <c r="B29" s="449"/>
      <c r="C29" s="285" t="s">
        <v>700</v>
      </c>
      <c r="D29" s="59">
        <v>18</v>
      </c>
      <c r="E29" s="270" t="s">
        <v>701</v>
      </c>
      <c r="F29" s="286">
        <v>4</v>
      </c>
      <c r="G29" s="287" t="str">
        <f t="shared" si="4"/>
        <v>judge</v>
      </c>
      <c r="H29" s="289">
        <v>0.6</v>
      </c>
      <c r="I29" s="288">
        <f t="shared" si="5"/>
        <v>0.6</v>
      </c>
      <c r="J29" s="271"/>
      <c r="K29" s="58" t="s">
        <v>5</v>
      </c>
    </row>
    <row r="30" spans="1:11" ht="75.75" thickBot="1">
      <c r="A30" s="373"/>
      <c r="B30" s="449"/>
      <c r="C30" s="285" t="s">
        <v>702</v>
      </c>
      <c r="D30" s="59">
        <v>19</v>
      </c>
      <c r="E30" s="270" t="s">
        <v>703</v>
      </c>
      <c r="F30" s="286">
        <v>4</v>
      </c>
      <c r="G30" s="287" t="str">
        <f t="shared" si="4"/>
        <v>judge</v>
      </c>
      <c r="H30" s="289">
        <v>0.9</v>
      </c>
      <c r="I30" s="288">
        <f t="shared" si="5"/>
        <v>0.9</v>
      </c>
      <c r="J30" s="271"/>
      <c r="K30" s="58" t="s">
        <v>5</v>
      </c>
    </row>
    <row r="31" spans="1:11" ht="60">
      <c r="A31" s="373"/>
      <c r="B31" s="449"/>
      <c r="C31" s="285" t="s">
        <v>704</v>
      </c>
      <c r="D31" s="59">
        <v>20</v>
      </c>
      <c r="E31" s="270" t="s">
        <v>705</v>
      </c>
      <c r="F31" s="286">
        <v>4</v>
      </c>
      <c r="G31" s="287" t="str">
        <f t="shared" si="4"/>
        <v>judge</v>
      </c>
      <c r="H31" s="289">
        <v>1.1000000000000001</v>
      </c>
      <c r="I31" s="288">
        <f t="shared" si="5"/>
        <v>1.1000000000000001</v>
      </c>
      <c r="J31" s="271"/>
      <c r="K31" s="58" t="s">
        <v>5</v>
      </c>
    </row>
    <row r="32" spans="1:11" ht="15" customHeight="1">
      <c r="A32" s="373"/>
      <c r="B32" s="449"/>
      <c r="C32" s="469"/>
      <c r="D32" s="448" t="s">
        <v>27</v>
      </c>
      <c r="E32" s="448"/>
      <c r="F32" s="293">
        <f>SUM(I26:I31)</f>
        <v>4.5</v>
      </c>
      <c r="G32" s="294"/>
      <c r="H32" s="294"/>
      <c r="I32" s="294"/>
      <c r="J32" s="271"/>
      <c r="K32" s="280"/>
    </row>
    <row r="33" spans="1:11" ht="15" customHeight="1" thickBot="1">
      <c r="A33" s="295"/>
      <c r="B33" s="295"/>
      <c r="C33" s="295"/>
      <c r="D33" s="468"/>
      <c r="E33" s="466"/>
      <c r="F33" s="467"/>
      <c r="G33" s="271"/>
      <c r="H33" s="271"/>
      <c r="I33" s="271"/>
      <c r="J33" s="271"/>
      <c r="K33" s="280"/>
    </row>
    <row r="34" spans="1:11" ht="87" customHeight="1">
      <c r="A34" s="366">
        <v>3</v>
      </c>
      <c r="B34" s="314" t="s">
        <v>714</v>
      </c>
      <c r="C34" s="303" t="s">
        <v>716</v>
      </c>
      <c r="D34" s="59">
        <v>21</v>
      </c>
      <c r="E34" s="272" t="s">
        <v>715</v>
      </c>
      <c r="F34" s="286">
        <v>4</v>
      </c>
      <c r="G34" s="287" t="str">
        <f>IF(OR(ISBLANK(F34),F34&gt;4),"Salah isi","judge")</f>
        <v>judge</v>
      </c>
      <c r="H34" s="289">
        <v>0.5</v>
      </c>
      <c r="I34" s="288">
        <f t="shared" ref="I34:I37" si="6">(F34/4)*H34</f>
        <v>0.5</v>
      </c>
      <c r="J34" s="294"/>
      <c r="K34" s="302" t="s">
        <v>5</v>
      </c>
    </row>
    <row r="35" spans="1:11" ht="45">
      <c r="A35" s="367"/>
      <c r="B35" s="315"/>
      <c r="C35" s="304" t="s">
        <v>717</v>
      </c>
      <c r="D35" s="59">
        <v>22</v>
      </c>
      <c r="E35" s="270" t="s">
        <v>718</v>
      </c>
      <c r="F35" s="286">
        <v>4</v>
      </c>
      <c r="G35" s="287" t="str">
        <f t="shared" ref="G35:G37" si="7">IF(OR(ISBLANK(F35),F35&gt;4),"Salah isi","judge")</f>
        <v>judge</v>
      </c>
      <c r="H35" s="288">
        <v>1</v>
      </c>
      <c r="I35" s="288">
        <f t="shared" si="6"/>
        <v>1</v>
      </c>
      <c r="J35" s="294"/>
      <c r="K35" s="302" t="s">
        <v>5</v>
      </c>
    </row>
    <row r="36" spans="1:11" ht="30">
      <c r="A36" s="367"/>
      <c r="B36" s="315"/>
      <c r="C36" s="304" t="s">
        <v>719</v>
      </c>
      <c r="D36" s="59">
        <v>23</v>
      </c>
      <c r="E36" s="270" t="s">
        <v>720</v>
      </c>
      <c r="F36" s="286">
        <v>4</v>
      </c>
      <c r="G36" s="287" t="str">
        <f t="shared" si="7"/>
        <v>judge</v>
      </c>
      <c r="H36" s="289">
        <v>0.9</v>
      </c>
      <c r="I36" s="288">
        <f t="shared" si="6"/>
        <v>0.9</v>
      </c>
      <c r="J36" s="294"/>
      <c r="K36" s="302" t="s">
        <v>5</v>
      </c>
    </row>
    <row r="37" spans="1:11" ht="67.5" customHeight="1">
      <c r="A37" s="367"/>
      <c r="B37" s="315"/>
      <c r="C37" s="304" t="s">
        <v>721</v>
      </c>
      <c r="D37" s="59">
        <v>24</v>
      </c>
      <c r="E37" s="270" t="s">
        <v>722</v>
      </c>
      <c r="F37" s="286">
        <v>4</v>
      </c>
      <c r="G37" s="287" t="str">
        <f t="shared" si="7"/>
        <v>judge</v>
      </c>
      <c r="H37" s="289">
        <v>1.1000000000000001</v>
      </c>
      <c r="I37" s="288">
        <f t="shared" si="6"/>
        <v>1.1000000000000001</v>
      </c>
      <c r="J37" s="294"/>
      <c r="K37" s="302" t="s">
        <v>5</v>
      </c>
    </row>
    <row r="38" spans="1:11" ht="15" customHeight="1" thickBot="1">
      <c r="A38" s="368"/>
      <c r="B38" s="316"/>
      <c r="C38" s="305"/>
      <c r="D38" s="440" t="s">
        <v>27</v>
      </c>
      <c r="E38" s="441"/>
      <c r="F38" s="284">
        <f>SUM(I34:I37)</f>
        <v>3.5</v>
      </c>
      <c r="G38" s="271"/>
      <c r="H38" s="271"/>
      <c r="I38" s="271"/>
      <c r="J38" s="271"/>
      <c r="K38" s="280"/>
    </row>
    <row r="39" spans="1:11" ht="15" customHeight="1" thickBot="1">
      <c r="A39" s="470"/>
      <c r="B39" s="470"/>
      <c r="C39" s="470"/>
      <c r="D39" s="299"/>
      <c r="E39" s="300"/>
      <c r="F39" s="301"/>
      <c r="G39" s="271"/>
      <c r="H39" s="271"/>
      <c r="I39" s="271"/>
      <c r="J39" s="271"/>
      <c r="K39" s="280"/>
    </row>
    <row r="40" spans="1:11" ht="94.5" customHeight="1">
      <c r="A40" s="472">
        <v>4</v>
      </c>
      <c r="B40" s="473" t="s">
        <v>723</v>
      </c>
      <c r="C40" s="474" t="s">
        <v>724</v>
      </c>
      <c r="D40" s="59">
        <v>25</v>
      </c>
      <c r="E40" s="272" t="s">
        <v>725</v>
      </c>
      <c r="F40" s="286">
        <v>4</v>
      </c>
      <c r="G40" s="287" t="str">
        <f>IF(OR(ISBLANK(F40),F40&gt;4),"Salah isi","judge")</f>
        <v>judge</v>
      </c>
      <c r="H40" s="289">
        <v>0.5</v>
      </c>
      <c r="I40" s="288">
        <f t="shared" ref="I40:I53" si="8">(F40/4)*H40</f>
        <v>0.5</v>
      </c>
      <c r="J40" s="271"/>
      <c r="K40" s="58" t="s">
        <v>5</v>
      </c>
    </row>
    <row r="41" spans="1:11" ht="50.25" customHeight="1">
      <c r="A41" s="472"/>
      <c r="B41" s="473"/>
      <c r="C41" s="475" t="s">
        <v>726</v>
      </c>
      <c r="D41" s="59">
        <v>26</v>
      </c>
      <c r="E41" s="476" t="s">
        <v>727</v>
      </c>
      <c r="F41" s="286">
        <v>4</v>
      </c>
      <c r="G41" s="287" t="str">
        <f t="shared" ref="G41:G52" si="9">IF(OR(ISBLANK(F41),F41&gt;4),"Salah isi","judge")</f>
        <v>judge</v>
      </c>
      <c r="H41" s="289">
        <v>0.5</v>
      </c>
      <c r="I41" s="288">
        <f t="shared" si="8"/>
        <v>0.5</v>
      </c>
      <c r="J41" s="271"/>
      <c r="K41" s="279"/>
    </row>
    <row r="42" spans="1:11" ht="50.25" customHeight="1">
      <c r="A42" s="472"/>
      <c r="B42" s="473"/>
      <c r="C42" s="475" t="s">
        <v>728</v>
      </c>
      <c r="D42" s="59">
        <v>27</v>
      </c>
      <c r="E42" s="476" t="s">
        <v>729</v>
      </c>
      <c r="F42" s="286">
        <v>4</v>
      </c>
      <c r="G42" s="287" t="str">
        <f t="shared" si="9"/>
        <v>judge</v>
      </c>
      <c r="H42" s="289">
        <v>0.6</v>
      </c>
      <c r="I42" s="288">
        <f t="shared" si="8"/>
        <v>0.6</v>
      </c>
      <c r="J42" s="271"/>
      <c r="K42" s="279"/>
    </row>
    <row r="43" spans="1:11" ht="50.25" customHeight="1">
      <c r="A43" s="472"/>
      <c r="B43" s="473"/>
      <c r="C43" s="477" t="s">
        <v>730</v>
      </c>
      <c r="D43" s="59">
        <v>28</v>
      </c>
      <c r="E43" s="476" t="s">
        <v>731</v>
      </c>
      <c r="F43" s="286">
        <v>4</v>
      </c>
      <c r="G43" s="287" t="str">
        <f t="shared" si="9"/>
        <v>judge</v>
      </c>
      <c r="H43" s="289">
        <v>0.7</v>
      </c>
      <c r="I43" s="288">
        <f t="shared" si="8"/>
        <v>0.7</v>
      </c>
      <c r="J43" s="271"/>
      <c r="K43" s="279"/>
    </row>
    <row r="44" spans="1:11" ht="50.25" customHeight="1">
      <c r="A44" s="472"/>
      <c r="B44" s="473"/>
      <c r="C44" s="477" t="s">
        <v>732</v>
      </c>
      <c r="D44" s="59">
        <v>29</v>
      </c>
      <c r="E44" s="476" t="s">
        <v>733</v>
      </c>
      <c r="F44" s="286">
        <v>4</v>
      </c>
      <c r="G44" s="287" t="str">
        <f t="shared" si="9"/>
        <v>judge</v>
      </c>
      <c r="H44" s="289">
        <v>0.6</v>
      </c>
      <c r="I44" s="288">
        <f t="shared" si="8"/>
        <v>0.6</v>
      </c>
      <c r="J44" s="271"/>
      <c r="K44" s="279"/>
    </row>
    <row r="45" spans="1:11" ht="50.25" customHeight="1">
      <c r="A45" s="472"/>
      <c r="B45" s="473"/>
      <c r="C45" s="477" t="s">
        <v>734</v>
      </c>
      <c r="D45" s="59">
        <v>30</v>
      </c>
      <c r="E45" s="476" t="s">
        <v>735</v>
      </c>
      <c r="F45" s="286">
        <v>4</v>
      </c>
      <c r="G45" s="287" t="str">
        <f t="shared" si="9"/>
        <v>judge</v>
      </c>
      <c r="H45" s="289">
        <v>0.6</v>
      </c>
      <c r="I45" s="288">
        <f t="shared" si="8"/>
        <v>0.6</v>
      </c>
      <c r="J45" s="271"/>
      <c r="K45" s="279"/>
    </row>
    <row r="46" spans="1:11" ht="50.25" customHeight="1">
      <c r="A46" s="472"/>
      <c r="B46" s="473"/>
      <c r="C46" s="477" t="s">
        <v>736</v>
      </c>
      <c r="D46" s="59">
        <v>31</v>
      </c>
      <c r="E46" s="476" t="s">
        <v>737</v>
      </c>
      <c r="F46" s="286">
        <v>4</v>
      </c>
      <c r="G46" s="287" t="str">
        <f t="shared" si="9"/>
        <v>judge</v>
      </c>
      <c r="H46" s="289">
        <v>0.7</v>
      </c>
      <c r="I46" s="288">
        <f t="shared" si="8"/>
        <v>0.7</v>
      </c>
      <c r="J46" s="271"/>
      <c r="K46" s="279"/>
    </row>
    <row r="47" spans="1:11" ht="80.25" customHeight="1">
      <c r="A47" s="472"/>
      <c r="B47" s="473"/>
      <c r="C47" s="477" t="s">
        <v>738</v>
      </c>
      <c r="D47" s="59">
        <v>32</v>
      </c>
      <c r="E47" s="476" t="s">
        <v>739</v>
      </c>
      <c r="F47" s="286">
        <v>4</v>
      </c>
      <c r="G47" s="287" t="str">
        <f t="shared" si="9"/>
        <v>judge</v>
      </c>
      <c r="H47" s="289">
        <v>0.5</v>
      </c>
      <c r="I47" s="288">
        <f t="shared" si="8"/>
        <v>0.5</v>
      </c>
      <c r="J47" s="271"/>
      <c r="K47" s="279"/>
    </row>
    <row r="48" spans="1:11" ht="50.25" customHeight="1">
      <c r="A48" s="472"/>
      <c r="B48" s="473"/>
      <c r="C48" s="477" t="s">
        <v>740</v>
      </c>
      <c r="D48" s="59">
        <v>33</v>
      </c>
      <c r="E48" s="476" t="s">
        <v>741</v>
      </c>
      <c r="F48" s="286">
        <v>4</v>
      </c>
      <c r="G48" s="287" t="str">
        <f>IF(OR(ISBLANK(F48),F48&gt;4),"Salah isi","judge")</f>
        <v>judge</v>
      </c>
      <c r="H48" s="289">
        <v>0.8</v>
      </c>
      <c r="I48" s="288">
        <f t="shared" si="8"/>
        <v>0.8</v>
      </c>
      <c r="J48" s="271"/>
      <c r="K48" s="279"/>
    </row>
    <row r="49" spans="1:11" ht="77.25" customHeight="1">
      <c r="A49" s="472"/>
      <c r="B49" s="473"/>
      <c r="C49" s="477" t="s">
        <v>742</v>
      </c>
      <c r="D49" s="59">
        <v>34</v>
      </c>
      <c r="E49" s="476" t="s">
        <v>743</v>
      </c>
      <c r="F49" s="286">
        <v>4</v>
      </c>
      <c r="G49" s="287" t="str">
        <f t="shared" si="9"/>
        <v>judge</v>
      </c>
      <c r="H49" s="289">
        <v>0.5</v>
      </c>
      <c r="I49" s="288">
        <f t="shared" si="8"/>
        <v>0.5</v>
      </c>
      <c r="J49" s="271"/>
      <c r="K49" s="279"/>
    </row>
    <row r="50" spans="1:11" ht="79.5" customHeight="1">
      <c r="A50" s="472"/>
      <c r="B50" s="473"/>
      <c r="C50" s="477" t="s">
        <v>744</v>
      </c>
      <c r="D50" s="59">
        <v>35</v>
      </c>
      <c r="E50" s="476" t="s">
        <v>745</v>
      </c>
      <c r="F50" s="286">
        <v>4</v>
      </c>
      <c r="G50" s="287" t="str">
        <f t="shared" si="9"/>
        <v>judge</v>
      </c>
      <c r="H50" s="289">
        <v>0.5</v>
      </c>
      <c r="I50" s="288">
        <f t="shared" si="8"/>
        <v>0.5</v>
      </c>
      <c r="J50" s="271"/>
      <c r="K50" s="279"/>
    </row>
    <row r="51" spans="1:11" ht="50.25" customHeight="1">
      <c r="A51" s="472"/>
      <c r="B51" s="473"/>
      <c r="C51" s="477" t="s">
        <v>746</v>
      </c>
      <c r="D51" s="59">
        <v>36</v>
      </c>
      <c r="E51" s="476" t="s">
        <v>747</v>
      </c>
      <c r="F51" s="286">
        <v>4</v>
      </c>
      <c r="G51" s="287" t="str">
        <f t="shared" si="9"/>
        <v>judge</v>
      </c>
      <c r="H51" s="289">
        <v>0.5</v>
      </c>
      <c r="I51" s="288">
        <f t="shared" si="8"/>
        <v>0.5</v>
      </c>
      <c r="J51" s="271"/>
      <c r="K51" s="279"/>
    </row>
    <row r="52" spans="1:11" ht="78.75" customHeight="1">
      <c r="A52" s="472"/>
      <c r="B52" s="473"/>
      <c r="C52" s="478" t="s">
        <v>748</v>
      </c>
      <c r="D52" s="59">
        <v>37</v>
      </c>
      <c r="E52" s="276" t="s">
        <v>749</v>
      </c>
      <c r="F52" s="286">
        <v>4</v>
      </c>
      <c r="G52" s="287" t="str">
        <f t="shared" si="9"/>
        <v>judge</v>
      </c>
      <c r="H52" s="289">
        <v>0.5</v>
      </c>
      <c r="I52" s="288">
        <f t="shared" si="8"/>
        <v>0.5</v>
      </c>
      <c r="J52" s="271"/>
      <c r="K52" s="279"/>
    </row>
    <row r="53" spans="1:11" ht="109.5" customHeight="1">
      <c r="A53" s="472"/>
      <c r="B53" s="473"/>
      <c r="C53" s="479" t="s">
        <v>750</v>
      </c>
      <c r="D53" s="59">
        <v>38</v>
      </c>
      <c r="E53" s="60" t="s">
        <v>751</v>
      </c>
      <c r="F53" s="286">
        <v>4</v>
      </c>
      <c r="G53" s="287" t="str">
        <f>IF(OR(ISBLANK(F53),F53&gt;4),"Salah isi","judge")</f>
        <v>judge</v>
      </c>
      <c r="H53" s="289">
        <v>0.5</v>
      </c>
      <c r="I53" s="288">
        <f t="shared" si="8"/>
        <v>0.5</v>
      </c>
      <c r="J53" s="271"/>
      <c r="K53" s="302" t="s">
        <v>5</v>
      </c>
    </row>
    <row r="54" spans="1:11" ht="15" customHeight="1">
      <c r="A54" s="472"/>
      <c r="B54" s="473"/>
      <c r="C54" s="469"/>
      <c r="D54" s="480" t="s">
        <v>27</v>
      </c>
      <c r="E54" s="480"/>
      <c r="F54" s="481">
        <f>SUM(I40:I53)</f>
        <v>8</v>
      </c>
      <c r="G54" s="294"/>
      <c r="H54" s="294"/>
      <c r="I54" s="294"/>
      <c r="J54" s="271"/>
      <c r="K54" s="280"/>
    </row>
    <row r="55" spans="1:11" ht="15" customHeight="1">
      <c r="A55" s="465"/>
      <c r="B55" s="465"/>
      <c r="C55" s="465"/>
      <c r="D55" s="468"/>
      <c r="E55" s="466"/>
      <c r="F55" s="467"/>
      <c r="G55" s="271"/>
      <c r="H55" s="271"/>
      <c r="I55" s="271"/>
      <c r="J55" s="271"/>
      <c r="K55" s="280"/>
    </row>
    <row r="56" spans="1:11" ht="78" customHeight="1">
      <c r="A56" s="472">
        <v>5</v>
      </c>
      <c r="B56" s="484" t="s">
        <v>752</v>
      </c>
      <c r="C56" s="478" t="s">
        <v>753</v>
      </c>
      <c r="D56" s="59">
        <v>39</v>
      </c>
      <c r="E56" s="272" t="s">
        <v>754</v>
      </c>
      <c r="F56" s="286">
        <v>4</v>
      </c>
      <c r="G56" s="287" t="str">
        <f>IF(OR(ISBLANK(F56),F56&gt;4),"Salah isi","judge")</f>
        <v>judge</v>
      </c>
      <c r="H56" s="289">
        <v>0.5</v>
      </c>
      <c r="I56" s="288">
        <f>(F56/4)*H56</f>
        <v>0.5</v>
      </c>
      <c r="J56" s="294"/>
      <c r="K56" s="302" t="s">
        <v>5</v>
      </c>
    </row>
    <row r="57" spans="1:11" ht="45">
      <c r="A57" s="472"/>
      <c r="B57" s="484"/>
      <c r="C57" s="478" t="s">
        <v>755</v>
      </c>
      <c r="D57" s="59">
        <v>40</v>
      </c>
      <c r="E57" s="483" t="s">
        <v>756</v>
      </c>
      <c r="F57" s="286">
        <v>4</v>
      </c>
      <c r="G57" s="287" t="str">
        <f t="shared" ref="G57:G60" si="10">IF(OR(ISBLANK(F57),F57&gt;4),"Salah isi","judge")</f>
        <v>judge</v>
      </c>
      <c r="H57" s="289">
        <v>0.6</v>
      </c>
      <c r="I57" s="288">
        <f t="shared" ref="I57:I62" si="11">(F57/4)*H57</f>
        <v>0.6</v>
      </c>
      <c r="J57" s="294"/>
      <c r="K57" s="302" t="s">
        <v>5</v>
      </c>
    </row>
    <row r="58" spans="1:11" ht="45">
      <c r="A58" s="472"/>
      <c r="B58" s="484"/>
      <c r="C58" s="478" t="s">
        <v>757</v>
      </c>
      <c r="D58" s="59">
        <v>41</v>
      </c>
      <c r="E58" s="483" t="s">
        <v>758</v>
      </c>
      <c r="F58" s="286">
        <v>4</v>
      </c>
      <c r="G58" s="287" t="str">
        <f t="shared" si="10"/>
        <v>judge</v>
      </c>
      <c r="H58" s="289">
        <v>0.5</v>
      </c>
      <c r="I58" s="288">
        <f>(F58/4)*H58</f>
        <v>0.5</v>
      </c>
      <c r="J58" s="294"/>
      <c r="K58" s="302" t="s">
        <v>5</v>
      </c>
    </row>
    <row r="59" spans="1:11" ht="49.5" customHeight="1">
      <c r="A59" s="472"/>
      <c r="B59" s="484"/>
      <c r="C59" s="478" t="s">
        <v>759</v>
      </c>
      <c r="D59" s="59">
        <v>42</v>
      </c>
      <c r="E59" s="483" t="s">
        <v>760</v>
      </c>
      <c r="F59" s="286">
        <v>4</v>
      </c>
      <c r="G59" s="287" t="str">
        <f t="shared" si="10"/>
        <v>judge</v>
      </c>
      <c r="H59" s="289">
        <v>0.5</v>
      </c>
      <c r="I59" s="288">
        <f t="shared" si="11"/>
        <v>0.5</v>
      </c>
      <c r="J59" s="294"/>
      <c r="K59" s="302" t="s">
        <v>5</v>
      </c>
    </row>
    <row r="60" spans="1:11" ht="49.5" customHeight="1">
      <c r="A60" s="472"/>
      <c r="B60" s="484"/>
      <c r="C60" s="478" t="s">
        <v>761</v>
      </c>
      <c r="D60" s="59">
        <v>43</v>
      </c>
      <c r="E60" s="483" t="s">
        <v>762</v>
      </c>
      <c r="F60" s="286">
        <v>4</v>
      </c>
      <c r="G60" s="287" t="str">
        <f t="shared" si="10"/>
        <v>judge</v>
      </c>
      <c r="H60" s="289">
        <v>0.6</v>
      </c>
      <c r="I60" s="288">
        <f t="shared" si="11"/>
        <v>0.6</v>
      </c>
      <c r="J60" s="294"/>
      <c r="K60" s="302" t="s">
        <v>5</v>
      </c>
    </row>
    <row r="61" spans="1:11" ht="60">
      <c r="A61" s="472"/>
      <c r="B61" s="484"/>
      <c r="C61" s="485" t="s">
        <v>763</v>
      </c>
      <c r="D61" s="59">
        <v>44</v>
      </c>
      <c r="E61" s="482" t="s">
        <v>764</v>
      </c>
      <c r="F61" s="286">
        <v>4</v>
      </c>
      <c r="G61" s="287" t="str">
        <f>IF(OR(ISBLANK(F61),F61&gt;4),"Salah isi","judge")</f>
        <v>judge</v>
      </c>
      <c r="H61" s="289">
        <v>0.7</v>
      </c>
      <c r="I61" s="288">
        <f t="shared" si="11"/>
        <v>0.7</v>
      </c>
      <c r="J61" s="294"/>
      <c r="K61" s="302" t="s">
        <v>5</v>
      </c>
    </row>
    <row r="62" spans="1:11" ht="50.25" customHeight="1">
      <c r="A62" s="472"/>
      <c r="B62" s="484"/>
      <c r="C62" s="478" t="s">
        <v>765</v>
      </c>
      <c r="D62" s="59">
        <v>45</v>
      </c>
      <c r="E62" s="272" t="s">
        <v>766</v>
      </c>
      <c r="F62" s="286">
        <v>4</v>
      </c>
      <c r="G62" s="287" t="str">
        <f>IF(OR(ISBLANK(F62),F62&lt;1,F62&gt;4),"Salah isi","judge")</f>
        <v>judge</v>
      </c>
      <c r="H62" s="289">
        <v>0.6</v>
      </c>
      <c r="I62" s="288">
        <f t="shared" si="11"/>
        <v>0.6</v>
      </c>
      <c r="J62" s="294"/>
      <c r="K62" s="302" t="s">
        <v>5</v>
      </c>
    </row>
    <row r="63" spans="1:11" ht="15" customHeight="1">
      <c r="A63" s="472"/>
      <c r="B63" s="484"/>
      <c r="C63" s="469"/>
      <c r="D63" s="480" t="s">
        <v>27</v>
      </c>
      <c r="E63" s="480"/>
      <c r="F63" s="481">
        <f>SUM(I56:I62)</f>
        <v>4</v>
      </c>
      <c r="G63" s="294"/>
      <c r="H63" s="294"/>
      <c r="I63" s="294"/>
      <c r="J63" s="294"/>
      <c r="K63" s="486"/>
    </row>
    <row r="64" spans="1:11" ht="15" customHeight="1" thickBot="1">
      <c r="A64" s="295"/>
      <c r="B64" s="295"/>
      <c r="C64" s="295"/>
      <c r="D64" s="471"/>
      <c r="E64" s="297"/>
      <c r="F64" s="298"/>
      <c r="G64" s="271"/>
      <c r="H64" s="271"/>
      <c r="I64" s="271"/>
      <c r="J64" s="271"/>
      <c r="K64" s="280"/>
    </row>
    <row r="65" spans="1:11" ht="35.1" customHeight="1">
      <c r="A65" s="366">
        <v>7</v>
      </c>
      <c r="B65" s="255"/>
      <c r="C65" s="334" t="s">
        <v>32</v>
      </c>
      <c r="D65" s="369" t="s">
        <v>33</v>
      </c>
      <c r="E65" s="409"/>
      <c r="F65" s="57">
        <v>4</v>
      </c>
      <c r="G65" s="15" t="str">
        <f>IF(OR(ISBLANK(F65),F65&lt;2,F65&gt;4),"Salah isi","judge")</f>
        <v>judge</v>
      </c>
      <c r="K65" s="58" t="s">
        <v>5</v>
      </c>
    </row>
    <row r="66" spans="1:11" ht="45">
      <c r="A66" s="367"/>
      <c r="B66" s="256"/>
      <c r="C66" s="325"/>
      <c r="D66" s="68">
        <v>4</v>
      </c>
      <c r="E66" s="74" t="s">
        <v>34</v>
      </c>
      <c r="F66" s="70"/>
      <c r="K66" s="16"/>
    </row>
    <row r="67" spans="1:11" ht="45">
      <c r="A67" s="367"/>
      <c r="B67" s="256"/>
      <c r="C67" s="325"/>
      <c r="D67" s="68">
        <v>3</v>
      </c>
      <c r="E67" s="74" t="s">
        <v>35</v>
      </c>
      <c r="F67" s="70"/>
      <c r="K67" s="16"/>
    </row>
    <row r="68" spans="1:11" ht="45">
      <c r="A68" s="367"/>
      <c r="B68" s="256"/>
      <c r="C68" s="325"/>
      <c r="D68" s="68">
        <v>2</v>
      </c>
      <c r="E68" s="74" t="s">
        <v>36</v>
      </c>
      <c r="F68" s="70"/>
      <c r="K68" s="16"/>
    </row>
    <row r="69" spans="1:11">
      <c r="A69" s="367"/>
      <c r="B69" s="256"/>
      <c r="C69" s="325"/>
      <c r="D69" s="68">
        <v>1</v>
      </c>
      <c r="E69" s="442" t="s">
        <v>37</v>
      </c>
      <c r="F69" s="338"/>
      <c r="K69" s="16"/>
    </row>
    <row r="70" spans="1:11">
      <c r="A70" s="367"/>
      <c r="B70" s="256"/>
      <c r="C70" s="325"/>
      <c r="D70" s="68">
        <v>0</v>
      </c>
      <c r="E70" s="443"/>
      <c r="F70" s="339"/>
      <c r="K70" s="16"/>
    </row>
    <row r="71" spans="1:11" ht="59.45" customHeight="1">
      <c r="A71" s="367"/>
      <c r="B71" s="256"/>
      <c r="C71" s="325"/>
      <c r="D71" s="413" t="s">
        <v>38</v>
      </c>
      <c r="E71" s="414"/>
      <c r="F71" s="73">
        <v>4</v>
      </c>
      <c r="G71" s="15" t="str">
        <f>IF(OR(ISBLANK(F71),F71&lt;1,F71&gt;4),"Salah isi","judge")</f>
        <v>judge</v>
      </c>
      <c r="K71" s="16"/>
    </row>
    <row r="72" spans="1:11" ht="90">
      <c r="A72" s="367"/>
      <c r="B72" s="256"/>
      <c r="C72" s="325"/>
      <c r="D72" s="68">
        <v>4</v>
      </c>
      <c r="E72" s="74" t="s">
        <v>39</v>
      </c>
      <c r="F72" s="70"/>
      <c r="K72" s="16"/>
    </row>
    <row r="73" spans="1:11" ht="75">
      <c r="A73" s="367"/>
      <c r="B73" s="256"/>
      <c r="C73" s="325"/>
      <c r="D73" s="68">
        <v>3</v>
      </c>
      <c r="E73" s="74" t="s">
        <v>40</v>
      </c>
      <c r="F73" s="70"/>
      <c r="K73" s="16"/>
    </row>
    <row r="74" spans="1:11" ht="30">
      <c r="A74" s="367"/>
      <c r="B74" s="256"/>
      <c r="C74" s="325"/>
      <c r="D74" s="68">
        <v>2</v>
      </c>
      <c r="E74" s="74" t="s">
        <v>41</v>
      </c>
      <c r="F74" s="70"/>
      <c r="K74" s="16"/>
    </row>
    <row r="75" spans="1:11" ht="30">
      <c r="A75" s="367"/>
      <c r="B75" s="256"/>
      <c r="C75" s="325"/>
      <c r="D75" s="68">
        <v>1</v>
      </c>
      <c r="E75" s="74" t="s">
        <v>42</v>
      </c>
      <c r="F75" s="70"/>
      <c r="K75" s="16"/>
    </row>
    <row r="76" spans="1:11">
      <c r="A76" s="367"/>
      <c r="B76" s="256"/>
      <c r="C76" s="325"/>
      <c r="D76" s="68">
        <v>0</v>
      </c>
      <c r="E76" s="74" t="s">
        <v>30</v>
      </c>
      <c r="F76" s="71"/>
      <c r="K76" s="16"/>
    </row>
    <row r="77" spans="1:11" ht="15" customHeight="1">
      <c r="A77" s="368"/>
      <c r="B77" s="257"/>
      <c r="C77" s="326"/>
      <c r="D77" s="371" t="s">
        <v>31</v>
      </c>
      <c r="E77" s="402"/>
      <c r="F77" s="63">
        <f>IF(OR(G65="Salah isi",G71="Salah isi"),0,(F65+2*F71)/3)</f>
        <v>4</v>
      </c>
      <c r="K77" s="16"/>
    </row>
    <row r="78" spans="1:11" ht="15" customHeight="1">
      <c r="A78" s="64"/>
      <c r="B78" s="64"/>
      <c r="C78" s="64"/>
      <c r="D78" s="65"/>
      <c r="E78" s="66"/>
      <c r="F78" s="67"/>
      <c r="K78" s="16"/>
    </row>
    <row r="79" spans="1:11" ht="120" customHeight="1">
      <c r="A79" s="366">
        <v>8</v>
      </c>
      <c r="B79" s="255"/>
      <c r="C79" s="334" t="s">
        <v>43</v>
      </c>
      <c r="D79" s="436" t="s">
        <v>44</v>
      </c>
      <c r="E79" s="409"/>
      <c r="F79" s="57">
        <v>4</v>
      </c>
      <c r="G79" s="15" t="str">
        <f>IF(OR(ISBLANK(F79),F79&lt;1,F79&gt;4),"Salah isi","judge")</f>
        <v>judge</v>
      </c>
      <c r="K79" s="58" t="s">
        <v>5</v>
      </c>
    </row>
    <row r="80" spans="1:11" ht="30">
      <c r="A80" s="367"/>
      <c r="B80" s="256"/>
      <c r="C80" s="325"/>
      <c r="D80" s="68">
        <v>4</v>
      </c>
      <c r="E80" s="69" t="s">
        <v>45</v>
      </c>
      <c r="F80" s="70"/>
      <c r="K80" s="16"/>
    </row>
    <row r="81" spans="1:14" ht="30">
      <c r="A81" s="367"/>
      <c r="B81" s="256"/>
      <c r="C81" s="325"/>
      <c r="D81" s="68">
        <v>3</v>
      </c>
      <c r="E81" s="69" t="s">
        <v>46</v>
      </c>
      <c r="F81" s="70"/>
      <c r="K81" s="16"/>
    </row>
    <row r="82" spans="1:14" ht="30">
      <c r="A82" s="367"/>
      <c r="B82" s="256"/>
      <c r="C82" s="325"/>
      <c r="D82" s="68">
        <v>2</v>
      </c>
      <c r="E82" s="69" t="s">
        <v>47</v>
      </c>
      <c r="F82" s="70"/>
      <c r="K82" s="16"/>
    </row>
    <row r="83" spans="1:14">
      <c r="A83" s="367"/>
      <c r="B83" s="256"/>
      <c r="C83" s="325"/>
      <c r="D83" s="68">
        <v>1</v>
      </c>
      <c r="E83" s="69" t="s">
        <v>48</v>
      </c>
      <c r="F83" s="70"/>
      <c r="K83" s="16"/>
    </row>
    <row r="84" spans="1:14">
      <c r="A84" s="367"/>
      <c r="B84" s="256"/>
      <c r="C84" s="325"/>
      <c r="D84" s="68">
        <v>0</v>
      </c>
      <c r="E84" s="69" t="s">
        <v>30</v>
      </c>
      <c r="F84" s="71"/>
      <c r="K84" s="16"/>
    </row>
    <row r="85" spans="1:14" ht="15" customHeight="1">
      <c r="A85" s="368"/>
      <c r="B85" s="257"/>
      <c r="C85" s="326"/>
      <c r="D85" s="437" t="s">
        <v>27</v>
      </c>
      <c r="E85" s="438"/>
      <c r="F85" s="75">
        <f>IF(G79="Salah isi",0,F79)</f>
        <v>4</v>
      </c>
      <c r="K85" s="16"/>
    </row>
    <row r="86" spans="1:14" ht="15" customHeight="1">
      <c r="A86" s="64"/>
      <c r="B86" s="64"/>
      <c r="C86" s="64"/>
      <c r="D86" s="76"/>
      <c r="E86" s="77"/>
      <c r="F86" s="67"/>
      <c r="K86" s="16"/>
    </row>
    <row r="87" spans="1:14" ht="51" customHeight="1">
      <c r="A87" s="366">
        <v>9</v>
      </c>
      <c r="B87" s="255"/>
      <c r="C87" s="354"/>
      <c r="D87" s="392" t="s">
        <v>49</v>
      </c>
      <c r="E87" s="392"/>
      <c r="F87" s="78"/>
      <c r="K87" s="58"/>
    </row>
    <row r="88" spans="1:14" ht="15.75" customHeight="1">
      <c r="A88" s="367"/>
      <c r="B88" s="256"/>
      <c r="C88" s="355"/>
      <c r="D88" s="439" t="s">
        <v>50</v>
      </c>
      <c r="E88" s="439"/>
      <c r="F88" s="79">
        <v>7</v>
      </c>
      <c r="G88" s="15" t="s">
        <v>51</v>
      </c>
      <c r="J88" s="80"/>
      <c r="K88" s="16"/>
      <c r="N88"/>
    </row>
    <row r="89" spans="1:14" ht="15.75" customHeight="1">
      <c r="A89" s="367"/>
      <c r="B89" s="256"/>
      <c r="C89" s="355"/>
      <c r="D89" s="439" t="s">
        <v>52</v>
      </c>
      <c r="E89" s="439"/>
      <c r="F89" s="79">
        <v>4</v>
      </c>
      <c r="G89" s="15" t="s">
        <v>51</v>
      </c>
      <c r="J89" s="80"/>
      <c r="K89" s="16"/>
      <c r="N89"/>
    </row>
    <row r="90" spans="1:14" ht="15.75" customHeight="1">
      <c r="A90" s="367"/>
      <c r="B90" s="256"/>
      <c r="C90" s="355"/>
      <c r="D90" s="439" t="s">
        <v>53</v>
      </c>
      <c r="E90" s="439"/>
      <c r="F90" s="79">
        <v>10</v>
      </c>
      <c r="G90" s="15" t="s">
        <v>51</v>
      </c>
      <c r="J90" s="80"/>
      <c r="K90" s="16"/>
      <c r="N90"/>
    </row>
    <row r="91" spans="1:14" ht="47.45" customHeight="1">
      <c r="A91" s="367"/>
      <c r="B91" s="256"/>
      <c r="C91" s="355"/>
      <c r="D91" s="393" t="s">
        <v>54</v>
      </c>
      <c r="E91" s="394"/>
      <c r="F91" s="79">
        <v>8</v>
      </c>
      <c r="G91" s="15" t="s">
        <v>51</v>
      </c>
      <c r="J91" s="80"/>
      <c r="K91" s="16"/>
      <c r="N91"/>
    </row>
    <row r="92" spans="1:14">
      <c r="A92" s="367"/>
      <c r="B92" s="256"/>
      <c r="C92" s="355"/>
      <c r="D92" s="396" t="s">
        <v>55</v>
      </c>
      <c r="E92" s="396"/>
      <c r="F92" s="81">
        <f>IF(F91&gt;0,(E93*F88+E94*F89+E95*F90)/F91,0)</f>
        <v>4.875</v>
      </c>
      <c r="J92" s="82"/>
      <c r="K92" s="16"/>
    </row>
    <row r="93" spans="1:14" ht="14.45" hidden="1" customHeight="1">
      <c r="A93" s="367"/>
      <c r="B93" s="256"/>
      <c r="C93" s="355"/>
      <c r="D93" s="83" t="s">
        <v>56</v>
      </c>
      <c r="E93" s="83">
        <v>3</v>
      </c>
      <c r="F93" s="84"/>
      <c r="J93" s="82"/>
      <c r="K93" s="16"/>
    </row>
    <row r="94" spans="1:14" ht="14.45" hidden="1" customHeight="1">
      <c r="A94" s="367"/>
      <c r="B94" s="256"/>
      <c r="C94" s="355"/>
      <c r="D94" s="83" t="s">
        <v>57</v>
      </c>
      <c r="E94" s="83">
        <v>2</v>
      </c>
      <c r="F94" s="84"/>
      <c r="J94" s="82"/>
      <c r="K94" s="16"/>
    </row>
    <row r="95" spans="1:14" ht="14.45" hidden="1" customHeight="1">
      <c r="A95" s="367"/>
      <c r="B95" s="256"/>
      <c r="C95" s="355"/>
      <c r="D95" s="83" t="s">
        <v>58</v>
      </c>
      <c r="E95" s="83">
        <v>1</v>
      </c>
      <c r="F95" s="84"/>
      <c r="J95" s="82"/>
      <c r="K95" s="16"/>
    </row>
    <row r="96" spans="1:14" ht="29.1" hidden="1" customHeight="1">
      <c r="A96" s="367"/>
      <c r="B96" s="256"/>
      <c r="C96" s="355"/>
      <c r="D96" s="83" t="s">
        <v>59</v>
      </c>
      <c r="E96" s="83">
        <v>4</v>
      </c>
      <c r="F96" s="84"/>
      <c r="J96" s="82"/>
      <c r="K96" s="16"/>
    </row>
    <row r="97" spans="1:14" ht="15" customHeight="1" thickBot="1">
      <c r="A97" s="367"/>
      <c r="B97" s="256"/>
      <c r="C97" s="355"/>
      <c r="D97" s="403" t="s">
        <v>60</v>
      </c>
      <c r="E97" s="404"/>
      <c r="F97" s="63">
        <f>IF(F92&gt;=E96,4,F92)</f>
        <v>4</v>
      </c>
      <c r="J97" s="85"/>
      <c r="K97" s="16"/>
    </row>
    <row r="98" spans="1:14" ht="45.6" customHeight="1">
      <c r="A98" s="367"/>
      <c r="B98" s="256"/>
      <c r="C98" s="355"/>
      <c r="D98" s="392" t="s">
        <v>61</v>
      </c>
      <c r="E98" s="392"/>
      <c r="F98" s="86"/>
      <c r="J98" s="85"/>
      <c r="K98" s="16"/>
    </row>
    <row r="99" spans="1:14" ht="15.75" customHeight="1">
      <c r="A99" s="367"/>
      <c r="B99" s="256"/>
      <c r="C99" s="355"/>
      <c r="D99" s="432" t="s">
        <v>62</v>
      </c>
      <c r="E99" s="433"/>
      <c r="F99" s="87">
        <v>1</v>
      </c>
      <c r="G99" s="15" t="s">
        <v>51</v>
      </c>
      <c r="J99" s="80"/>
      <c r="K99" s="16"/>
      <c r="N99"/>
    </row>
    <row r="100" spans="1:14" ht="15.75" customHeight="1">
      <c r="A100" s="367"/>
      <c r="B100" s="256"/>
      <c r="C100" s="355"/>
      <c r="D100" s="432" t="s">
        <v>63</v>
      </c>
      <c r="E100" s="433"/>
      <c r="F100" s="79">
        <v>6</v>
      </c>
      <c r="G100" s="15" t="s">
        <v>51</v>
      </c>
      <c r="J100" s="80"/>
      <c r="K100" s="16"/>
      <c r="N100"/>
    </row>
    <row r="101" spans="1:14" ht="15.75" customHeight="1">
      <c r="A101" s="367"/>
      <c r="B101" s="256"/>
      <c r="C101" s="355"/>
      <c r="D101" s="432" t="s">
        <v>64</v>
      </c>
      <c r="E101" s="433"/>
      <c r="F101" s="79">
        <v>14</v>
      </c>
      <c r="G101" s="15" t="s">
        <v>51</v>
      </c>
      <c r="J101" s="80"/>
      <c r="K101" s="16"/>
      <c r="N101"/>
    </row>
    <row r="102" spans="1:14" ht="14.45" hidden="1" customHeight="1">
      <c r="A102" s="367"/>
      <c r="B102" s="256"/>
      <c r="C102" s="355"/>
      <c r="D102" s="83" t="s">
        <v>56</v>
      </c>
      <c r="E102" s="88">
        <v>2</v>
      </c>
      <c r="F102" s="84"/>
      <c r="J102" s="82"/>
      <c r="K102" s="16"/>
    </row>
    <row r="103" spans="1:14" ht="14.45" hidden="1" customHeight="1">
      <c r="A103" s="367"/>
      <c r="B103" s="256"/>
      <c r="C103" s="355"/>
      <c r="D103" s="83" t="s">
        <v>57</v>
      </c>
      <c r="E103" s="88">
        <v>6</v>
      </c>
      <c r="F103" s="84"/>
      <c r="J103" s="82"/>
      <c r="K103" s="16"/>
    </row>
    <row r="104" spans="1:14" ht="14.45" hidden="1" customHeight="1">
      <c r="A104" s="367"/>
      <c r="B104" s="256"/>
      <c r="C104" s="355"/>
      <c r="D104" s="83" t="s">
        <v>58</v>
      </c>
      <c r="E104" s="88">
        <v>9</v>
      </c>
      <c r="F104" s="84"/>
      <c r="J104" s="82"/>
      <c r="K104" s="16"/>
    </row>
    <row r="105" spans="1:14" ht="14.45" hidden="1" customHeight="1">
      <c r="A105" s="367"/>
      <c r="B105" s="256"/>
      <c r="C105" s="355"/>
      <c r="D105" s="89"/>
      <c r="E105" s="90" t="s">
        <v>65</v>
      </c>
      <c r="F105" s="91" t="str">
        <f>IF(F99&gt;=E102,"YES","NO")</f>
        <v>NO</v>
      </c>
      <c r="J105" s="92"/>
      <c r="K105" s="16"/>
    </row>
    <row r="106" spans="1:14" ht="14.45" hidden="1" customHeight="1">
      <c r="A106" s="367"/>
      <c r="B106" s="256"/>
      <c r="C106" s="355"/>
      <c r="D106" s="89"/>
      <c r="E106" s="90" t="s">
        <v>66</v>
      </c>
      <c r="F106" s="91" t="str">
        <f>IF(AND(F99&lt;E102,F100&gt;=E103),"YES","NO")</f>
        <v>YES</v>
      </c>
      <c r="J106" s="92"/>
      <c r="K106" s="16"/>
    </row>
    <row r="107" spans="1:14" ht="14.45" hidden="1" customHeight="1">
      <c r="A107" s="367"/>
      <c r="B107" s="256"/>
      <c r="C107" s="355"/>
      <c r="D107" s="89"/>
      <c r="E107" s="90" t="s">
        <v>67</v>
      </c>
      <c r="F107" s="91" t="str">
        <f>IF(OR(AND(F99&gt;0,F99&lt;E102,F100=0),AND(F100&gt;0,F100&lt;E103,F99=0),AND(F99&gt;0,F99&lt;E102,F100&gt;0,F100&lt;E103)),"YES","NO")</f>
        <v>NO</v>
      </c>
      <c r="J107" s="82"/>
      <c r="K107" s="16"/>
    </row>
    <row r="108" spans="1:14" ht="14.45" hidden="1" customHeight="1">
      <c r="A108" s="367"/>
      <c r="B108" s="256"/>
      <c r="C108" s="355"/>
      <c r="D108" s="89"/>
      <c r="E108" s="90" t="s">
        <v>68</v>
      </c>
      <c r="F108" s="91" t="str">
        <f>IF(AND(F99=0,F100=0,F101&gt;=E104),"YES","NO")</f>
        <v>NO</v>
      </c>
      <c r="J108" s="82"/>
      <c r="K108" s="16"/>
    </row>
    <row r="109" spans="1:14" ht="14.45" hidden="1" customHeight="1">
      <c r="A109" s="367"/>
      <c r="B109" s="256"/>
      <c r="C109" s="355"/>
      <c r="D109" s="89"/>
      <c r="E109" s="90" t="s">
        <v>69</v>
      </c>
      <c r="F109" s="91" t="str">
        <f>IF(AND(F99=0,F100=0,F101&lt;E104),"YES","NO")</f>
        <v>NO</v>
      </c>
      <c r="J109" s="82"/>
      <c r="K109" s="16"/>
    </row>
    <row r="110" spans="1:14" ht="14.45" hidden="1" customHeight="1">
      <c r="A110" s="367"/>
      <c r="B110" s="256"/>
      <c r="C110" s="355"/>
      <c r="D110" s="405"/>
      <c r="E110" s="406"/>
      <c r="F110" s="93"/>
      <c r="J110" s="82"/>
      <c r="K110" s="16"/>
    </row>
    <row r="111" spans="1:14" ht="15.75" thickBot="1">
      <c r="A111" s="367"/>
      <c r="B111" s="256"/>
      <c r="C111" s="355"/>
      <c r="D111" s="434" t="s">
        <v>70</v>
      </c>
      <c r="E111" s="435"/>
      <c r="F111" s="94">
        <f>IF(F105="YES",4,IF(F106="YES",3+F99/E102,IF(F107="YES",2+2*F99/E102+F100/E103-(F99*F100)/(E102*E103),IF(F108="YES",2,2*F101/E104))))</f>
        <v>3.5</v>
      </c>
      <c r="J111" s="85"/>
      <c r="K111" s="16"/>
    </row>
    <row r="112" spans="1:14" ht="15.75" thickBot="1">
      <c r="A112" s="368"/>
      <c r="B112" s="257"/>
      <c r="C112" s="356"/>
      <c r="D112" s="403" t="s">
        <v>71</v>
      </c>
      <c r="E112" s="404"/>
      <c r="F112" s="63">
        <f>(2*F97+F111)/3</f>
        <v>3.8333333333333335</v>
      </c>
      <c r="J112" s="85"/>
      <c r="K112" s="16"/>
    </row>
    <row r="113" spans="1:11">
      <c r="D113" s="95"/>
      <c r="E113" s="96"/>
      <c r="K113" s="97"/>
    </row>
    <row r="114" spans="1:11" ht="48" customHeight="1">
      <c r="A114" s="366">
        <v>10</v>
      </c>
      <c r="B114" s="255"/>
      <c r="C114" s="334" t="s">
        <v>72</v>
      </c>
      <c r="D114" s="369" t="s">
        <v>73</v>
      </c>
      <c r="E114" s="409"/>
      <c r="F114" s="57">
        <v>4</v>
      </c>
      <c r="G114" s="15" t="str">
        <f>IF(OR(ISBLANK(F114),F114&lt;2,F114&gt;4),"Salah isi","judge")</f>
        <v>judge</v>
      </c>
      <c r="K114" s="58"/>
    </row>
    <row r="115" spans="1:11" ht="105">
      <c r="A115" s="367"/>
      <c r="B115" s="256"/>
      <c r="C115" s="325"/>
      <c r="D115" s="68">
        <v>4</v>
      </c>
      <c r="E115" s="69" t="s">
        <v>74</v>
      </c>
      <c r="F115" s="70"/>
      <c r="K115" s="16"/>
    </row>
    <row r="116" spans="1:11" ht="105">
      <c r="A116" s="367"/>
      <c r="B116" s="256"/>
      <c r="C116" s="325"/>
      <c r="D116" s="68">
        <v>3</v>
      </c>
      <c r="E116" s="69" t="s">
        <v>75</v>
      </c>
      <c r="F116" s="70"/>
      <c r="K116" s="16"/>
    </row>
    <row r="117" spans="1:11">
      <c r="A117" s="367"/>
      <c r="B117" s="256"/>
      <c r="C117" s="325"/>
      <c r="D117" s="68">
        <v>2</v>
      </c>
      <c r="E117" s="69" t="s">
        <v>76</v>
      </c>
      <c r="F117" s="70"/>
      <c r="K117" s="16"/>
    </row>
    <row r="118" spans="1:11">
      <c r="A118" s="367"/>
      <c r="B118" s="256"/>
      <c r="C118" s="325"/>
      <c r="D118" s="68">
        <v>1</v>
      </c>
      <c r="E118" s="335" t="s">
        <v>37</v>
      </c>
      <c r="F118" s="70"/>
      <c r="K118" s="16"/>
    </row>
    <row r="119" spans="1:11" ht="14.85" customHeight="1">
      <c r="A119" s="367"/>
      <c r="B119" s="256"/>
      <c r="C119" s="325"/>
      <c r="D119" s="68">
        <v>0</v>
      </c>
      <c r="E119" s="335"/>
      <c r="F119" s="71"/>
      <c r="K119" s="16"/>
    </row>
    <row r="120" spans="1:11" ht="15" customHeight="1">
      <c r="A120" s="368"/>
      <c r="B120" s="257"/>
      <c r="C120" s="326"/>
      <c r="D120" s="371" t="s">
        <v>27</v>
      </c>
      <c r="E120" s="372"/>
      <c r="F120" s="63">
        <f>IF(G114="Salah isi",0,F114)</f>
        <v>4</v>
      </c>
      <c r="K120" s="16"/>
    </row>
    <row r="121" spans="1:11" ht="15" customHeight="1">
      <c r="A121" s="64"/>
      <c r="B121" s="64"/>
      <c r="C121" s="64"/>
      <c r="D121" s="65"/>
      <c r="E121" s="66"/>
      <c r="F121" s="67"/>
      <c r="K121" s="16"/>
    </row>
    <row r="122" spans="1:11" ht="164.1" customHeight="1">
      <c r="A122" s="366">
        <v>11</v>
      </c>
      <c r="B122" s="255"/>
      <c r="C122" s="334" t="s">
        <v>77</v>
      </c>
      <c r="D122" s="369" t="s">
        <v>78</v>
      </c>
      <c r="E122" s="409"/>
      <c r="F122" s="57">
        <v>4</v>
      </c>
      <c r="G122" s="15" t="str">
        <f>IF(OR(ISBLANK(F122),F122&gt;4),"Salah isi","judge")</f>
        <v>judge</v>
      </c>
      <c r="K122" s="58"/>
    </row>
    <row r="123" spans="1:11" ht="45">
      <c r="A123" s="367"/>
      <c r="B123" s="256"/>
      <c r="C123" s="325"/>
      <c r="D123" s="68">
        <v>4</v>
      </c>
      <c r="E123" s="69" t="s">
        <v>79</v>
      </c>
      <c r="F123" s="70"/>
      <c r="K123" s="16"/>
    </row>
    <row r="124" spans="1:11" ht="30">
      <c r="A124" s="367"/>
      <c r="B124" s="256"/>
      <c r="C124" s="325"/>
      <c r="D124" s="68">
        <v>3</v>
      </c>
      <c r="E124" s="69" t="s">
        <v>80</v>
      </c>
      <c r="F124" s="70"/>
      <c r="K124" s="16"/>
    </row>
    <row r="125" spans="1:11" ht="30">
      <c r="A125" s="367"/>
      <c r="B125" s="256"/>
      <c r="C125" s="325"/>
      <c r="D125" s="68">
        <v>2</v>
      </c>
      <c r="E125" s="69" t="s">
        <v>81</v>
      </c>
      <c r="F125" s="70"/>
      <c r="K125" s="16"/>
    </row>
    <row r="126" spans="1:11" ht="28.5" customHeight="1">
      <c r="A126" s="367"/>
      <c r="B126" s="256"/>
      <c r="C126" s="325"/>
      <c r="D126" s="68">
        <v>1</v>
      </c>
      <c r="E126" s="69" t="s">
        <v>82</v>
      </c>
      <c r="F126" s="70"/>
      <c r="K126" s="16"/>
    </row>
    <row r="127" spans="1:11" ht="14.85" customHeight="1">
      <c r="A127" s="367"/>
      <c r="B127" s="256"/>
      <c r="C127" s="325"/>
      <c r="D127" s="68">
        <v>0</v>
      </c>
      <c r="E127" s="69" t="s">
        <v>83</v>
      </c>
      <c r="F127" s="71"/>
      <c r="K127" s="16"/>
    </row>
    <row r="128" spans="1:11" ht="15" customHeight="1">
      <c r="A128" s="368"/>
      <c r="B128" s="257"/>
      <c r="C128" s="326"/>
      <c r="D128" s="371" t="s">
        <v>27</v>
      </c>
      <c r="E128" s="372"/>
      <c r="F128" s="63">
        <f>IF(G122="Salah isi",0,F122)</f>
        <v>4</v>
      </c>
      <c r="K128" s="16"/>
    </row>
    <row r="129" spans="1:11" ht="15" customHeight="1">
      <c r="A129" s="64"/>
      <c r="B129" s="64"/>
      <c r="C129" s="64"/>
      <c r="D129" s="65"/>
      <c r="E129" s="66"/>
      <c r="F129" s="67"/>
      <c r="K129" s="16"/>
    </row>
    <row r="130" spans="1:11" ht="126.6" customHeight="1">
      <c r="A130" s="366">
        <v>12</v>
      </c>
      <c r="B130" s="255"/>
      <c r="C130" s="334" t="s">
        <v>84</v>
      </c>
      <c r="D130" s="369" t="s">
        <v>85</v>
      </c>
      <c r="E130" s="409"/>
      <c r="F130" s="57">
        <v>4</v>
      </c>
      <c r="G130" s="15" t="str">
        <f>IF(OR(ISBLANK(F130),F130&gt;4),"Salah isi","judge")</f>
        <v>judge</v>
      </c>
      <c r="K130" s="58"/>
    </row>
    <row r="131" spans="1:11">
      <c r="A131" s="367"/>
      <c r="B131" s="256"/>
      <c r="C131" s="325"/>
      <c r="D131" s="68">
        <v>4</v>
      </c>
      <c r="E131" s="69" t="s">
        <v>86</v>
      </c>
      <c r="F131" s="70"/>
      <c r="K131" s="16"/>
    </row>
    <row r="132" spans="1:11" ht="30">
      <c r="A132" s="367"/>
      <c r="B132" s="256"/>
      <c r="C132" s="325"/>
      <c r="D132" s="68">
        <v>3</v>
      </c>
      <c r="E132" s="69" t="s">
        <v>87</v>
      </c>
      <c r="F132" s="70"/>
      <c r="K132" s="16"/>
    </row>
    <row r="133" spans="1:11" ht="30">
      <c r="A133" s="367"/>
      <c r="B133" s="256"/>
      <c r="C133" s="325"/>
      <c r="D133" s="68">
        <v>2</v>
      </c>
      <c r="E133" s="69" t="s">
        <v>88</v>
      </c>
      <c r="F133" s="70"/>
      <c r="K133" s="16"/>
    </row>
    <row r="134" spans="1:11" ht="60">
      <c r="A134" s="367"/>
      <c r="B134" s="256"/>
      <c r="C134" s="325"/>
      <c r="D134" s="68">
        <v>1</v>
      </c>
      <c r="E134" s="69" t="s">
        <v>89</v>
      </c>
      <c r="F134" s="70"/>
      <c r="K134" s="16"/>
    </row>
    <row r="135" spans="1:11" ht="30">
      <c r="A135" s="367"/>
      <c r="B135" s="256"/>
      <c r="C135" s="325"/>
      <c r="D135" s="68">
        <v>0</v>
      </c>
      <c r="E135" s="69" t="s">
        <v>90</v>
      </c>
      <c r="F135" s="71"/>
      <c r="K135" s="16"/>
    </row>
    <row r="136" spans="1:11" ht="15" customHeight="1">
      <c r="A136" s="368"/>
      <c r="B136" s="257"/>
      <c r="C136" s="326"/>
      <c r="D136" s="371" t="s">
        <v>27</v>
      </c>
      <c r="E136" s="402"/>
      <c r="F136" s="63">
        <f>IF(G130="Salah isi",0,F130)</f>
        <v>4</v>
      </c>
      <c r="K136" s="16"/>
    </row>
    <row r="137" spans="1:11" ht="15" customHeight="1">
      <c r="A137" s="64"/>
      <c r="B137" s="64"/>
      <c r="C137" s="64"/>
      <c r="D137" s="65"/>
      <c r="E137" s="66"/>
      <c r="F137" s="67"/>
      <c r="K137" s="16"/>
    </row>
    <row r="138" spans="1:11" ht="236.25" customHeight="1">
      <c r="A138" s="366">
        <v>13</v>
      </c>
      <c r="B138" s="255"/>
      <c r="C138" s="334" t="s">
        <v>91</v>
      </c>
      <c r="D138" s="369" t="s">
        <v>92</v>
      </c>
      <c r="E138" s="409"/>
      <c r="F138" s="57">
        <v>4</v>
      </c>
      <c r="G138" s="15" t="str">
        <f>IF(OR(ISBLANK(F138),F138&gt;4),"Salah isi","judge")</f>
        <v>judge</v>
      </c>
      <c r="K138" s="58"/>
    </row>
    <row r="139" spans="1:11" ht="45">
      <c r="A139" s="367"/>
      <c r="B139" s="256"/>
      <c r="C139" s="325"/>
      <c r="D139" s="68">
        <v>4</v>
      </c>
      <c r="E139" s="69" t="s">
        <v>93</v>
      </c>
      <c r="F139" s="70"/>
      <c r="K139" s="16"/>
    </row>
    <row r="140" spans="1:11" ht="60">
      <c r="A140" s="367"/>
      <c r="B140" s="256"/>
      <c r="C140" s="325"/>
      <c r="D140" s="68">
        <v>3</v>
      </c>
      <c r="E140" s="69" t="s">
        <v>94</v>
      </c>
      <c r="F140" s="70"/>
      <c r="K140" s="16"/>
    </row>
    <row r="141" spans="1:11" ht="45">
      <c r="A141" s="367"/>
      <c r="B141" s="256"/>
      <c r="C141" s="325"/>
      <c r="D141" s="68">
        <v>2</v>
      </c>
      <c r="E141" s="69" t="s">
        <v>95</v>
      </c>
      <c r="F141" s="70"/>
      <c r="K141" s="16"/>
    </row>
    <row r="142" spans="1:11" ht="45">
      <c r="A142" s="367"/>
      <c r="B142" s="256"/>
      <c r="C142" s="325"/>
      <c r="D142" s="68">
        <v>1</v>
      </c>
      <c r="E142" s="69" t="s">
        <v>96</v>
      </c>
      <c r="F142" s="70"/>
      <c r="K142" s="16"/>
    </row>
    <row r="143" spans="1:11" ht="30">
      <c r="A143" s="367"/>
      <c r="B143" s="256"/>
      <c r="C143" s="325"/>
      <c r="D143" s="68">
        <v>0</v>
      </c>
      <c r="E143" s="69" t="s">
        <v>97</v>
      </c>
      <c r="F143" s="71"/>
      <c r="K143" s="16"/>
    </row>
    <row r="144" spans="1:11" ht="15" customHeight="1">
      <c r="A144" s="368"/>
      <c r="B144" s="257"/>
      <c r="C144" s="326"/>
      <c r="D144" s="371" t="s">
        <v>27</v>
      </c>
      <c r="E144" s="372"/>
      <c r="F144" s="63">
        <f>IF(G138="Salah isi",0,F138)</f>
        <v>4</v>
      </c>
      <c r="K144" s="16"/>
    </row>
    <row r="145" spans="1:11" ht="15" customHeight="1">
      <c r="A145" s="64"/>
      <c r="B145" s="64"/>
      <c r="C145" s="64"/>
      <c r="D145" s="65"/>
      <c r="E145" s="66"/>
      <c r="F145" s="67"/>
      <c r="K145" s="16"/>
    </row>
    <row r="146" spans="1:11" ht="32.450000000000003" customHeight="1">
      <c r="A146" s="366">
        <v>14</v>
      </c>
      <c r="B146" s="255"/>
      <c r="C146" s="334" t="s">
        <v>98</v>
      </c>
      <c r="D146" s="392" t="s">
        <v>99</v>
      </c>
      <c r="E146" s="392"/>
      <c r="F146" s="98"/>
      <c r="K146" s="58"/>
    </row>
    <row r="147" spans="1:11" ht="45">
      <c r="A147" s="367"/>
      <c r="B147" s="256"/>
      <c r="C147" s="325"/>
      <c r="D147" s="99"/>
      <c r="E147" s="100" t="s">
        <v>100</v>
      </c>
      <c r="F147" s="101" t="s">
        <v>101</v>
      </c>
      <c r="K147" s="16"/>
    </row>
    <row r="148" spans="1:11" ht="32.450000000000003" hidden="1" customHeight="1">
      <c r="A148" s="367"/>
      <c r="B148" s="256"/>
      <c r="C148" s="325"/>
      <c r="D148" s="102"/>
      <c r="E148" s="103" t="s">
        <v>102</v>
      </c>
      <c r="F148" s="104" t="s">
        <v>101</v>
      </c>
      <c r="K148" s="16"/>
    </row>
    <row r="149" spans="1:11" ht="14.45" hidden="1" customHeight="1">
      <c r="A149" s="367"/>
      <c r="B149" s="256"/>
      <c r="C149" s="325"/>
      <c r="D149" s="102"/>
      <c r="E149" s="103" t="s">
        <v>103</v>
      </c>
      <c r="F149" s="104" t="s">
        <v>104</v>
      </c>
      <c r="K149" s="16"/>
    </row>
    <row r="150" spans="1:11" ht="14.45" hidden="1" customHeight="1">
      <c r="A150" s="367"/>
      <c r="B150" s="256"/>
      <c r="C150" s="325"/>
      <c r="D150" s="102"/>
      <c r="E150" s="103"/>
      <c r="F150" s="104"/>
      <c r="K150" s="16"/>
    </row>
    <row r="151" spans="1:11" ht="14.45" hidden="1" customHeight="1">
      <c r="A151" s="367"/>
      <c r="B151" s="256"/>
      <c r="C151" s="325"/>
      <c r="D151" s="102"/>
      <c r="E151" s="105"/>
      <c r="F151" s="106"/>
      <c r="K151" s="16"/>
    </row>
    <row r="152" spans="1:11" ht="32.450000000000003" customHeight="1">
      <c r="A152" s="367"/>
      <c r="B152" s="256"/>
      <c r="C152" s="325"/>
      <c r="D152" s="421" t="s">
        <v>105</v>
      </c>
      <c r="E152" s="431"/>
      <c r="F152" s="107"/>
      <c r="K152" s="16"/>
    </row>
    <row r="153" spans="1:11">
      <c r="A153" s="367"/>
      <c r="B153" s="256"/>
      <c r="C153" s="355"/>
      <c r="D153" s="393" t="s">
        <v>106</v>
      </c>
      <c r="E153" s="394"/>
      <c r="F153" s="79">
        <v>181</v>
      </c>
      <c r="G153" s="15" t="s">
        <v>51</v>
      </c>
      <c r="J153" s="80"/>
      <c r="K153" s="16"/>
    </row>
    <row r="154" spans="1:11">
      <c r="A154" s="367"/>
      <c r="B154" s="256"/>
      <c r="C154" s="355"/>
      <c r="D154" s="393" t="s">
        <v>107</v>
      </c>
      <c r="E154" s="394"/>
      <c r="F154" s="79">
        <v>167</v>
      </c>
      <c r="G154" s="15" t="s">
        <v>51</v>
      </c>
      <c r="J154" s="80"/>
      <c r="K154" s="16"/>
    </row>
    <row r="155" spans="1:11">
      <c r="A155" s="367"/>
      <c r="B155" s="256"/>
      <c r="C155" s="355"/>
      <c r="D155" s="393" t="s">
        <v>108</v>
      </c>
      <c r="E155" s="394"/>
      <c r="F155" s="81">
        <f>IF(F154&gt;0,F153/F154,0)</f>
        <v>1.0838323353293413</v>
      </c>
      <c r="J155" s="108"/>
      <c r="K155" s="16"/>
    </row>
    <row r="156" spans="1:11" ht="14.45" hidden="1" customHeight="1">
      <c r="A156" s="367"/>
      <c r="B156" s="256"/>
      <c r="C156" s="355"/>
      <c r="D156" s="109" t="s">
        <v>109</v>
      </c>
      <c r="E156" s="110">
        <v>5</v>
      </c>
      <c r="F156" s="111"/>
      <c r="J156" s="108"/>
      <c r="K156" s="16"/>
    </row>
    <row r="157" spans="1:11" ht="15.75" thickBot="1">
      <c r="A157" s="367"/>
      <c r="B157" s="256"/>
      <c r="C157" s="355"/>
      <c r="D157" s="427" t="s">
        <v>27</v>
      </c>
      <c r="E157" s="428"/>
      <c r="F157" s="112">
        <f>IF(F155&gt;=E156,4,4/E156*F155)</f>
        <v>0.86706586826347309</v>
      </c>
      <c r="J157" s="108"/>
      <c r="K157" s="16"/>
    </row>
    <row r="158" spans="1:11" ht="36" customHeight="1">
      <c r="A158" s="367"/>
      <c r="B158" s="256"/>
      <c r="C158" s="355"/>
      <c r="D158" s="429" t="s">
        <v>110</v>
      </c>
      <c r="E158" s="430"/>
      <c r="F158" s="57">
        <v>3</v>
      </c>
      <c r="G158" s="15" t="str">
        <f>IF(F147="Tinggi","Tidak diisi",IF(OR(ISBLANK(F158),AND(F158&gt;2,F158&lt;4),AND(F158&gt;0,F158&lt;2),F158&gt;4),"Salah isi","judge"))</f>
        <v>Tidak diisi</v>
      </c>
      <c r="J158" s="108"/>
      <c r="K158" s="16"/>
    </row>
    <row r="159" spans="1:11">
      <c r="A159" s="367"/>
      <c r="B159" s="256"/>
      <c r="C159" s="355"/>
      <c r="D159" s="68">
        <v>4</v>
      </c>
      <c r="E159" s="69" t="s">
        <v>111</v>
      </c>
      <c r="F159" s="113"/>
      <c r="J159" s="108"/>
      <c r="K159" s="16"/>
    </row>
    <row r="160" spans="1:11">
      <c r="A160" s="367"/>
      <c r="B160" s="256"/>
      <c r="C160" s="355"/>
      <c r="D160" s="68">
        <v>3</v>
      </c>
      <c r="E160" s="69" t="s">
        <v>112</v>
      </c>
      <c r="F160" s="113"/>
      <c r="J160" s="108"/>
      <c r="K160" s="16"/>
    </row>
    <row r="161" spans="1:11">
      <c r="A161" s="367"/>
      <c r="B161" s="256"/>
      <c r="C161" s="355"/>
      <c r="D161" s="68">
        <v>2</v>
      </c>
      <c r="E161" s="69" t="s">
        <v>113</v>
      </c>
      <c r="F161" s="113"/>
      <c r="J161" s="108"/>
      <c r="K161" s="16"/>
    </row>
    <row r="162" spans="1:11">
      <c r="A162" s="367"/>
      <c r="B162" s="256"/>
      <c r="C162" s="355"/>
      <c r="D162" s="68">
        <v>1</v>
      </c>
      <c r="E162" s="69" t="s">
        <v>114</v>
      </c>
      <c r="F162" s="113"/>
      <c r="J162" s="108"/>
      <c r="K162" s="16"/>
    </row>
    <row r="163" spans="1:11">
      <c r="A163" s="367"/>
      <c r="B163" s="256"/>
      <c r="C163" s="355"/>
      <c r="D163" s="114">
        <v>0</v>
      </c>
      <c r="E163" s="115" t="s">
        <v>115</v>
      </c>
      <c r="F163" s="116"/>
      <c r="J163" s="108"/>
      <c r="K163" s="16"/>
    </row>
    <row r="164" spans="1:11" ht="15" customHeight="1">
      <c r="A164" s="368"/>
      <c r="B164" s="257"/>
      <c r="C164" s="356"/>
      <c r="D164" s="418" t="s">
        <v>27</v>
      </c>
      <c r="E164" s="419"/>
      <c r="F164" s="117">
        <f>IF(F147="Tinggi",F157,IF(AND(F147="Rendah",G158="Salah Isi"),0,F158))</f>
        <v>0.86706586826347309</v>
      </c>
      <c r="J164" s="118"/>
      <c r="K164" s="16"/>
    </row>
    <row r="165" spans="1:11">
      <c r="D165" s="95"/>
      <c r="E165" s="96"/>
      <c r="K165" s="97"/>
    </row>
    <row r="166" spans="1:11" ht="35.450000000000003" customHeight="1">
      <c r="A166" s="366">
        <v>15</v>
      </c>
      <c r="B166" s="255"/>
      <c r="C166" s="334" t="s">
        <v>116</v>
      </c>
      <c r="D166" s="392" t="s">
        <v>117</v>
      </c>
      <c r="E166" s="392"/>
      <c r="F166" s="57" t="s">
        <v>5</v>
      </c>
      <c r="G166" s="15" t="str">
        <f>IF(OR(ISBLANK(F166),F166&gt;4),"Salah isi","judge")</f>
        <v>Salah isi</v>
      </c>
      <c r="K166" s="58"/>
    </row>
    <row r="167" spans="1:11" ht="45" customHeight="1">
      <c r="A167" s="367"/>
      <c r="B167" s="256"/>
      <c r="C167" s="325"/>
      <c r="D167" s="68">
        <v>4</v>
      </c>
      <c r="E167" s="69" t="s">
        <v>118</v>
      </c>
      <c r="F167" s="113"/>
      <c r="K167" s="16"/>
    </row>
    <row r="168" spans="1:11" ht="45" customHeight="1">
      <c r="A168" s="367"/>
      <c r="B168" s="256"/>
      <c r="C168" s="325"/>
      <c r="D168" s="68">
        <v>3</v>
      </c>
      <c r="E168" s="69" t="s">
        <v>119</v>
      </c>
      <c r="F168" s="113"/>
      <c r="K168" s="16"/>
    </row>
    <row r="169" spans="1:11" ht="30">
      <c r="A169" s="367"/>
      <c r="B169" s="256"/>
      <c r="C169" s="325"/>
      <c r="D169" s="68">
        <v>2</v>
      </c>
      <c r="E169" s="69" t="s">
        <v>120</v>
      </c>
      <c r="F169" s="113"/>
      <c r="K169" s="16"/>
    </row>
    <row r="170" spans="1:11" ht="30">
      <c r="A170" s="367"/>
      <c r="B170" s="256"/>
      <c r="C170" s="325"/>
      <c r="D170" s="68">
        <v>1</v>
      </c>
      <c r="E170" s="69" t="s">
        <v>121</v>
      </c>
      <c r="F170" s="113"/>
      <c r="K170" s="16"/>
    </row>
    <row r="171" spans="1:11" ht="30">
      <c r="A171" s="367"/>
      <c r="B171" s="256"/>
      <c r="C171" s="325"/>
      <c r="D171" s="114">
        <v>0</v>
      </c>
      <c r="E171" s="115" t="s">
        <v>122</v>
      </c>
      <c r="F171" s="119"/>
      <c r="K171" s="16"/>
    </row>
    <row r="172" spans="1:11" ht="32.450000000000003" customHeight="1">
      <c r="A172" s="367"/>
      <c r="B172" s="256"/>
      <c r="C172" s="325"/>
      <c r="D172" s="335" t="s">
        <v>123</v>
      </c>
      <c r="E172" s="335"/>
      <c r="F172" s="120"/>
      <c r="K172" s="16"/>
    </row>
    <row r="173" spans="1:11" ht="33.6" customHeight="1">
      <c r="A173" s="367"/>
      <c r="B173" s="256"/>
      <c r="C173" s="325"/>
      <c r="D173" s="375" t="s">
        <v>124</v>
      </c>
      <c r="E173" s="376"/>
      <c r="F173" s="79">
        <v>0</v>
      </c>
      <c r="G173" s="15" t="s">
        <v>51</v>
      </c>
      <c r="J173" s="80"/>
      <c r="K173" s="16"/>
    </row>
    <row r="174" spans="1:11" ht="33.6" customHeight="1">
      <c r="A174" s="367"/>
      <c r="B174" s="256"/>
      <c r="C174" s="325"/>
      <c r="D174" s="375" t="s">
        <v>125</v>
      </c>
      <c r="E174" s="376"/>
      <c r="F174" s="79">
        <v>0</v>
      </c>
      <c r="G174" s="15" t="s">
        <v>51</v>
      </c>
      <c r="J174" s="80"/>
      <c r="K174" s="16"/>
    </row>
    <row r="175" spans="1:11" ht="33.6" customHeight="1">
      <c r="A175" s="367"/>
      <c r="B175" s="256"/>
      <c r="C175" s="325"/>
      <c r="D175" s="375" t="s">
        <v>126</v>
      </c>
      <c r="E175" s="376"/>
      <c r="F175" s="79">
        <v>0</v>
      </c>
      <c r="G175" s="15" t="s">
        <v>51</v>
      </c>
      <c r="J175" s="80"/>
      <c r="K175" s="16"/>
    </row>
    <row r="176" spans="1:11" ht="14.45" customHeight="1">
      <c r="A176" s="367"/>
      <c r="B176" s="256"/>
      <c r="C176" s="325"/>
      <c r="D176" s="375" t="s">
        <v>127</v>
      </c>
      <c r="E176" s="376"/>
      <c r="F176" s="121">
        <f>IF(F173&gt;0,(F174+F175)/F173,0)</f>
        <v>0</v>
      </c>
      <c r="J176" s="108"/>
      <c r="K176" s="16"/>
    </row>
    <row r="177" spans="1:11" ht="14.45" hidden="1" customHeight="1">
      <c r="A177" s="367"/>
      <c r="B177" s="256"/>
      <c r="C177" s="325"/>
      <c r="D177" s="109" t="s">
        <v>109</v>
      </c>
      <c r="E177" s="122">
        <v>0.01</v>
      </c>
      <c r="F177" s="111"/>
      <c r="J177" s="108"/>
      <c r="K177" s="16"/>
    </row>
    <row r="178" spans="1:11" ht="15" customHeight="1">
      <c r="A178" s="367"/>
      <c r="B178" s="256"/>
      <c r="C178" s="325"/>
      <c r="D178" s="425" t="s">
        <v>70</v>
      </c>
      <c r="E178" s="426"/>
      <c r="F178" s="123">
        <f>IF(F176&gt;=E177,4,2+2/E177*F176)</f>
        <v>2</v>
      </c>
      <c r="J178" s="108"/>
      <c r="K178" s="16"/>
    </row>
    <row r="179" spans="1:11" ht="15" customHeight="1" thickBot="1">
      <c r="A179" s="368"/>
      <c r="B179" s="257"/>
      <c r="C179" s="356"/>
      <c r="D179" s="403" t="s">
        <v>71</v>
      </c>
      <c r="E179" s="404"/>
      <c r="F179" s="63">
        <f>IF(G166="Salah isi",0,(2*F166+F178)/3)</f>
        <v>0</v>
      </c>
      <c r="J179" s="118"/>
      <c r="K179" s="16"/>
    </row>
    <row r="180" spans="1:11">
      <c r="D180" s="95"/>
      <c r="E180" s="96"/>
      <c r="K180" s="97"/>
    </row>
    <row r="181" spans="1:11" ht="80.099999999999994" customHeight="1">
      <c r="A181" s="366">
        <v>16</v>
      </c>
      <c r="B181" s="255"/>
      <c r="C181" s="334" t="s">
        <v>128</v>
      </c>
      <c r="D181" s="369" t="s">
        <v>129</v>
      </c>
      <c r="E181" s="409"/>
      <c r="F181" s="57" t="s">
        <v>5</v>
      </c>
      <c r="G181" s="15" t="str">
        <f>IF(OR(ISBLANK(F181),F181&gt;4),"Salah isi","judge")</f>
        <v>Salah isi</v>
      </c>
      <c r="K181" s="58"/>
    </row>
    <row r="182" spans="1:11" ht="60">
      <c r="A182" s="367"/>
      <c r="B182" s="256"/>
      <c r="C182" s="325"/>
      <c r="D182" s="68">
        <v>4</v>
      </c>
      <c r="E182" s="69" t="s">
        <v>130</v>
      </c>
      <c r="F182" s="70"/>
      <c r="K182" s="16"/>
    </row>
    <row r="183" spans="1:11" ht="45">
      <c r="A183" s="367"/>
      <c r="B183" s="256"/>
      <c r="C183" s="325"/>
      <c r="D183" s="68">
        <v>3</v>
      </c>
      <c r="E183" s="69" t="s">
        <v>131</v>
      </c>
      <c r="F183" s="70"/>
      <c r="K183" s="16"/>
    </row>
    <row r="184" spans="1:11" ht="30">
      <c r="A184" s="367"/>
      <c r="B184" s="256"/>
      <c r="C184" s="325"/>
      <c r="D184" s="68">
        <v>2</v>
      </c>
      <c r="E184" s="69" t="s">
        <v>132</v>
      </c>
      <c r="F184" s="70"/>
      <c r="K184" s="16"/>
    </row>
    <row r="185" spans="1:11" ht="30">
      <c r="A185" s="367"/>
      <c r="B185" s="256"/>
      <c r="C185" s="325"/>
      <c r="D185" s="68">
        <v>1</v>
      </c>
      <c r="E185" s="124" t="s">
        <v>133</v>
      </c>
      <c r="F185" s="70"/>
      <c r="K185" s="16"/>
    </row>
    <row r="186" spans="1:11">
      <c r="A186" s="367"/>
      <c r="B186" s="256"/>
      <c r="C186" s="325"/>
      <c r="D186" s="114">
        <v>0</v>
      </c>
      <c r="E186" s="115" t="s">
        <v>134</v>
      </c>
      <c r="F186" s="119"/>
      <c r="K186" s="16"/>
    </row>
    <row r="187" spans="1:11" ht="42" customHeight="1">
      <c r="A187" s="367"/>
      <c r="B187" s="256"/>
      <c r="C187" s="325"/>
      <c r="D187" s="393" t="s">
        <v>135</v>
      </c>
      <c r="E187" s="394"/>
      <c r="F187" s="125" t="s">
        <v>5</v>
      </c>
      <c r="G187" s="15" t="str">
        <f>IF(OR(ISBLANK(F187),F187&gt;4),"Salah isi","judge")</f>
        <v>Salah isi</v>
      </c>
      <c r="K187" s="16"/>
    </row>
    <row r="188" spans="1:11" ht="45">
      <c r="A188" s="367"/>
      <c r="B188" s="256"/>
      <c r="C188" s="325"/>
      <c r="D188" s="68">
        <v>4</v>
      </c>
      <c r="E188" s="69" t="s">
        <v>136</v>
      </c>
      <c r="F188" s="70"/>
      <c r="K188" s="16"/>
    </row>
    <row r="189" spans="1:11" ht="45">
      <c r="A189" s="367"/>
      <c r="B189" s="256"/>
      <c r="C189" s="325"/>
      <c r="D189" s="68">
        <v>3</v>
      </c>
      <c r="E189" s="69" t="s">
        <v>137</v>
      </c>
      <c r="F189" s="70"/>
      <c r="K189" s="16"/>
    </row>
    <row r="190" spans="1:11" ht="30">
      <c r="A190" s="367"/>
      <c r="B190" s="256"/>
      <c r="C190" s="325"/>
      <c r="D190" s="68">
        <v>2</v>
      </c>
      <c r="E190" s="69" t="s">
        <v>138</v>
      </c>
      <c r="F190" s="70"/>
      <c r="K190" s="16"/>
    </row>
    <row r="191" spans="1:11" ht="30">
      <c r="A191" s="367"/>
      <c r="B191" s="256"/>
      <c r="C191" s="325"/>
      <c r="D191" s="68">
        <v>1</v>
      </c>
      <c r="E191" s="124" t="s">
        <v>139</v>
      </c>
      <c r="F191" s="70"/>
      <c r="K191" s="16"/>
    </row>
    <row r="192" spans="1:11">
      <c r="A192" s="367"/>
      <c r="B192" s="256"/>
      <c r="C192" s="325"/>
      <c r="D192" s="68">
        <v>0</v>
      </c>
      <c r="E192" s="69" t="s">
        <v>134</v>
      </c>
      <c r="F192" s="71"/>
      <c r="K192" s="16"/>
    </row>
    <row r="193" spans="1:11" ht="15" customHeight="1">
      <c r="A193" s="368"/>
      <c r="B193" s="257"/>
      <c r="C193" s="326"/>
      <c r="D193" s="371" t="s">
        <v>31</v>
      </c>
      <c r="E193" s="372"/>
      <c r="F193" s="63">
        <f>IF(OR(G181="Salah isi",G187="Salah isi"),0,(F181+2*F187)/3)</f>
        <v>0</v>
      </c>
      <c r="K193" s="16"/>
    </row>
    <row r="194" spans="1:11" ht="15" customHeight="1">
      <c r="A194" s="64"/>
      <c r="B194" s="64"/>
      <c r="C194" s="64"/>
      <c r="D194" s="65"/>
      <c r="E194" s="66"/>
      <c r="F194" s="67"/>
      <c r="K194" s="16"/>
    </row>
    <row r="195" spans="1:11" ht="44.45" customHeight="1">
      <c r="A195" s="366">
        <v>17</v>
      </c>
      <c r="B195" s="255"/>
      <c r="C195" s="334" t="s">
        <v>140</v>
      </c>
      <c r="D195" s="392" t="s">
        <v>141</v>
      </c>
      <c r="E195" s="392"/>
      <c r="F195" s="78"/>
      <c r="K195" s="58"/>
    </row>
    <row r="196" spans="1:11" ht="50.1" customHeight="1">
      <c r="A196" s="367"/>
      <c r="B196" s="256"/>
      <c r="C196" s="325"/>
      <c r="D196" s="393" t="s">
        <v>54</v>
      </c>
      <c r="E196" s="394"/>
      <c r="F196" s="79">
        <v>6</v>
      </c>
      <c r="G196" s="15" t="s">
        <v>51</v>
      </c>
      <c r="J196" s="80"/>
      <c r="K196" s="16"/>
    </row>
    <row r="197" spans="1:11" ht="14.45" hidden="1" customHeight="1">
      <c r="A197" s="367"/>
      <c r="B197" s="256"/>
      <c r="C197" s="325"/>
      <c r="D197" s="89" t="s">
        <v>142</v>
      </c>
      <c r="E197" s="90">
        <v>3</v>
      </c>
      <c r="F197" s="126"/>
      <c r="J197" s="80"/>
      <c r="K197" s="16"/>
    </row>
    <row r="198" spans="1:11" ht="14.45" hidden="1" customHeight="1">
      <c r="A198" s="367"/>
      <c r="B198" s="256"/>
      <c r="C198" s="325"/>
      <c r="D198" s="89" t="s">
        <v>143</v>
      </c>
      <c r="E198" s="90">
        <v>6</v>
      </c>
      <c r="F198" s="126"/>
      <c r="J198" s="80"/>
      <c r="K198" s="16"/>
    </row>
    <row r="199" spans="1:11" ht="15.75" thickBot="1">
      <c r="A199" s="368"/>
      <c r="B199" s="257"/>
      <c r="C199" s="326"/>
      <c r="D199" s="403" t="s">
        <v>27</v>
      </c>
      <c r="E199" s="404"/>
      <c r="F199" s="63">
        <f>IF(F196&gt;=E198,4,IF(F196&gt;=E197,2/(E198-E197)*(F196-E197)+2,0))</f>
        <v>4</v>
      </c>
      <c r="K199" s="16"/>
    </row>
    <row r="200" spans="1:11" ht="15.75" thickBot="1">
      <c r="D200" s="95"/>
      <c r="E200" s="96"/>
      <c r="K200" s="97"/>
    </row>
    <row r="201" spans="1:11" ht="41.45" customHeight="1">
      <c r="A201" s="366">
        <v>18</v>
      </c>
      <c r="B201" s="255"/>
      <c r="C201" s="334"/>
      <c r="D201" s="392" t="s">
        <v>144</v>
      </c>
      <c r="E201" s="392"/>
      <c r="F201" s="78"/>
      <c r="K201" s="58"/>
    </row>
    <row r="202" spans="1:11" ht="35.1" customHeight="1">
      <c r="A202" s="367"/>
      <c r="B202" s="256"/>
      <c r="C202" s="325"/>
      <c r="D202" s="393" t="s">
        <v>145</v>
      </c>
      <c r="E202" s="394"/>
      <c r="F202" s="79">
        <v>7</v>
      </c>
      <c r="G202" s="15" t="s">
        <v>51</v>
      </c>
      <c r="J202" s="80"/>
      <c r="K202" s="16"/>
    </row>
    <row r="203" spans="1:11" ht="53.1" customHeight="1">
      <c r="A203" s="367"/>
      <c r="B203" s="256"/>
      <c r="C203" s="325"/>
      <c r="D203" s="393" t="s">
        <v>54</v>
      </c>
      <c r="E203" s="394"/>
      <c r="F203" s="79">
        <v>10</v>
      </c>
      <c r="G203" s="15" t="s">
        <v>51</v>
      </c>
      <c r="J203" s="80"/>
      <c r="K203" s="16"/>
    </row>
    <row r="204" spans="1:11" ht="14.45" customHeight="1">
      <c r="A204" s="367"/>
      <c r="B204" s="256"/>
      <c r="C204" s="325"/>
      <c r="D204" s="393" t="s">
        <v>146</v>
      </c>
      <c r="E204" s="394"/>
      <c r="F204" s="127">
        <f>IF(F203&gt;0,F202/F203,0)</f>
        <v>0.7</v>
      </c>
      <c r="J204" s="108"/>
      <c r="K204" s="16"/>
    </row>
    <row r="205" spans="1:11" ht="14.45" hidden="1" customHeight="1">
      <c r="A205" s="367"/>
      <c r="B205" s="256"/>
      <c r="C205" s="325"/>
      <c r="D205" s="89" t="s">
        <v>109</v>
      </c>
      <c r="E205" s="128">
        <v>0.5</v>
      </c>
      <c r="F205" s="129"/>
      <c r="J205" s="108"/>
      <c r="K205" s="16"/>
    </row>
    <row r="206" spans="1:11" ht="15.75" thickBot="1">
      <c r="A206" s="368"/>
      <c r="B206" s="257"/>
      <c r="C206" s="326"/>
      <c r="D206" s="403" t="s">
        <v>27</v>
      </c>
      <c r="E206" s="404"/>
      <c r="F206" s="63">
        <f>IF(F204&gt;=E205,4,2+2/E205*F204)</f>
        <v>4</v>
      </c>
      <c r="K206" s="16"/>
    </row>
    <row r="207" spans="1:11" ht="15.75" thickBot="1">
      <c r="D207" s="95"/>
      <c r="E207" s="96"/>
      <c r="K207" s="97"/>
    </row>
    <row r="208" spans="1:11" ht="43.35" hidden="1" customHeight="1">
      <c r="A208" s="360"/>
      <c r="B208" s="258"/>
      <c r="C208" s="328"/>
      <c r="D208" s="410"/>
      <c r="E208" s="410"/>
      <c r="F208" s="130"/>
      <c r="K208" s="58"/>
    </row>
    <row r="209" spans="1:11" ht="14.45" hidden="1" customHeight="1">
      <c r="A209" s="361"/>
      <c r="B209" s="259"/>
      <c r="C209" s="329"/>
      <c r="D209" s="405"/>
      <c r="E209" s="406"/>
      <c r="F209" s="131"/>
      <c r="J209" s="80"/>
      <c r="K209" s="16"/>
    </row>
    <row r="210" spans="1:11" ht="49.35" hidden="1" customHeight="1">
      <c r="A210" s="361"/>
      <c r="B210" s="259"/>
      <c r="C210" s="329"/>
      <c r="D210" s="405"/>
      <c r="E210" s="406"/>
      <c r="F210" s="131"/>
      <c r="J210" s="80"/>
      <c r="K210" s="16"/>
    </row>
    <row r="211" spans="1:11" ht="15.75" hidden="1" customHeight="1">
      <c r="A211" s="361"/>
      <c r="B211" s="259"/>
      <c r="C211" s="329"/>
      <c r="D211" s="405"/>
      <c r="E211" s="406"/>
      <c r="F211" s="132"/>
      <c r="J211" s="118"/>
      <c r="K211" s="16"/>
    </row>
    <row r="212" spans="1:11" ht="15.75" hidden="1" customHeight="1">
      <c r="A212" s="361"/>
      <c r="B212" s="259"/>
      <c r="C212" s="329"/>
      <c r="D212" s="89"/>
      <c r="E212" s="128"/>
      <c r="F212" s="129"/>
      <c r="J212" s="118"/>
      <c r="K212" s="16"/>
    </row>
    <row r="213" spans="1:11" ht="15" hidden="1" customHeight="1">
      <c r="A213" s="362"/>
      <c r="B213" s="260"/>
      <c r="C213" s="330"/>
      <c r="D213" s="407"/>
      <c r="E213" s="408"/>
      <c r="F213" s="133"/>
      <c r="K213" s="16"/>
    </row>
    <row r="214" spans="1:11" ht="15" hidden="1" customHeight="1">
      <c r="D214" s="95"/>
      <c r="E214" s="96"/>
      <c r="K214" s="97"/>
    </row>
    <row r="215" spans="1:11" ht="33.75" customHeight="1">
      <c r="A215" s="366">
        <v>19</v>
      </c>
      <c r="B215" s="255"/>
      <c r="C215" s="334"/>
      <c r="D215" s="392" t="s">
        <v>147</v>
      </c>
      <c r="E215" s="392"/>
      <c r="F215" s="78"/>
      <c r="K215" s="58"/>
    </row>
    <row r="216" spans="1:11">
      <c r="A216" s="367"/>
      <c r="B216" s="256"/>
      <c r="C216" s="325"/>
      <c r="D216" s="393" t="s">
        <v>148</v>
      </c>
      <c r="E216" s="394"/>
      <c r="F216" s="79">
        <v>0</v>
      </c>
      <c r="G216" s="15" t="s">
        <v>51</v>
      </c>
      <c r="J216" s="80"/>
      <c r="K216" s="16"/>
    </row>
    <row r="217" spans="1:11">
      <c r="A217" s="367"/>
      <c r="B217" s="256"/>
      <c r="C217" s="325"/>
      <c r="D217" s="393" t="s">
        <v>149</v>
      </c>
      <c r="E217" s="394"/>
      <c r="F217" s="79">
        <v>0</v>
      </c>
      <c r="G217" s="15" t="s">
        <v>51</v>
      </c>
      <c r="J217" s="80"/>
      <c r="K217" s="16"/>
    </row>
    <row r="218" spans="1:11">
      <c r="A218" s="367"/>
      <c r="B218" s="256"/>
      <c r="C218" s="325"/>
      <c r="D218" s="393" t="s">
        <v>150</v>
      </c>
      <c r="E218" s="394"/>
      <c r="F218" s="79">
        <v>0</v>
      </c>
      <c r="G218" s="15" t="s">
        <v>51</v>
      </c>
      <c r="J218" s="80"/>
      <c r="K218" s="16"/>
    </row>
    <row r="219" spans="1:11" ht="50.45" customHeight="1">
      <c r="A219" s="367"/>
      <c r="B219" s="256"/>
      <c r="C219" s="325"/>
      <c r="D219" s="393" t="s">
        <v>54</v>
      </c>
      <c r="E219" s="394"/>
      <c r="F219" s="79">
        <v>6</v>
      </c>
      <c r="G219" s="15" t="s">
        <v>51</v>
      </c>
      <c r="J219" s="80"/>
      <c r="K219" s="16"/>
    </row>
    <row r="220" spans="1:11" ht="14.45" customHeight="1">
      <c r="A220" s="367"/>
      <c r="B220" s="256"/>
      <c r="C220" s="325"/>
      <c r="D220" s="393" t="s">
        <v>151</v>
      </c>
      <c r="E220" s="394"/>
      <c r="F220" s="127">
        <f>IF(F219&gt;0,(F216+F217+F218)/F219,0)</f>
        <v>0</v>
      </c>
      <c r="J220" s="108"/>
      <c r="K220" s="16"/>
    </row>
    <row r="221" spans="1:11" ht="14.45" hidden="1" customHeight="1">
      <c r="A221" s="367"/>
      <c r="B221" s="256"/>
      <c r="C221" s="325"/>
      <c r="D221" s="89" t="s">
        <v>109</v>
      </c>
      <c r="E221" s="128">
        <v>0.7</v>
      </c>
      <c r="F221" s="129"/>
      <c r="J221" s="108"/>
      <c r="K221" s="16"/>
    </row>
    <row r="222" spans="1:11" ht="15.75" thickBot="1">
      <c r="A222" s="368"/>
      <c r="B222" s="257"/>
      <c r="C222" s="326"/>
      <c r="D222" s="403" t="s">
        <v>27</v>
      </c>
      <c r="E222" s="404"/>
      <c r="F222" s="63">
        <f>IF(F220&gt;=E221,4,2+2/E221*F220)</f>
        <v>2</v>
      </c>
      <c r="K222" s="16"/>
    </row>
    <row r="223" spans="1:11" ht="15.75" thickBot="1">
      <c r="D223" s="95"/>
      <c r="E223" s="96"/>
      <c r="K223" s="97"/>
    </row>
    <row r="224" spans="1:11" ht="43.35" customHeight="1">
      <c r="A224" s="366">
        <v>20</v>
      </c>
      <c r="B224" s="255"/>
      <c r="C224" s="334"/>
      <c r="D224" s="392" t="s">
        <v>152</v>
      </c>
      <c r="E224" s="392"/>
      <c r="F224" s="78"/>
      <c r="K224" s="58"/>
    </row>
    <row r="225" spans="1:11" ht="30">
      <c r="A225" s="367"/>
      <c r="B225" s="256"/>
      <c r="C225" s="325"/>
      <c r="D225" s="72"/>
      <c r="E225" s="100" t="s">
        <v>153</v>
      </c>
      <c r="F225" s="101" t="s">
        <v>154</v>
      </c>
      <c r="K225" s="16"/>
    </row>
    <row r="226" spans="1:11" ht="14.45" hidden="1" customHeight="1">
      <c r="A226" s="367"/>
      <c r="B226" s="256"/>
      <c r="C226" s="325"/>
      <c r="D226" s="134"/>
      <c r="E226" s="103" t="s">
        <v>155</v>
      </c>
      <c r="F226" s="104" t="s">
        <v>156</v>
      </c>
      <c r="K226" s="16"/>
    </row>
    <row r="227" spans="1:11" ht="14.45" hidden="1" customHeight="1">
      <c r="A227" s="367"/>
      <c r="B227" s="256"/>
      <c r="C227" s="325"/>
      <c r="D227" s="134"/>
      <c r="E227" s="103" t="s">
        <v>157</v>
      </c>
      <c r="F227" s="104" t="s">
        <v>154</v>
      </c>
      <c r="K227" s="16"/>
    </row>
    <row r="228" spans="1:11" ht="14.45" hidden="1" customHeight="1">
      <c r="A228" s="367"/>
      <c r="B228" s="256"/>
      <c r="C228" s="325"/>
      <c r="D228" s="134"/>
      <c r="E228" s="103"/>
      <c r="F228" s="104"/>
      <c r="K228" s="16"/>
    </row>
    <row r="229" spans="1:11" ht="14.45" hidden="1" customHeight="1">
      <c r="A229" s="367"/>
      <c r="B229" s="256"/>
      <c r="C229" s="325"/>
      <c r="D229" s="134"/>
      <c r="E229" s="103"/>
      <c r="F229" s="104"/>
      <c r="K229" s="16"/>
    </row>
    <row r="230" spans="1:11" ht="14.45" customHeight="1">
      <c r="A230" s="367"/>
      <c r="B230" s="256"/>
      <c r="C230" s="325"/>
      <c r="D230" s="375" t="s">
        <v>158</v>
      </c>
      <c r="E230" s="376"/>
      <c r="F230" s="79">
        <v>250</v>
      </c>
      <c r="G230" s="15" t="s">
        <v>51</v>
      </c>
      <c r="J230" s="80"/>
      <c r="K230" s="16"/>
    </row>
    <row r="231" spans="1:11" ht="50.1" customHeight="1">
      <c r="A231" s="367"/>
      <c r="B231" s="256"/>
      <c r="C231" s="325"/>
      <c r="D231" s="393" t="s">
        <v>54</v>
      </c>
      <c r="E231" s="394"/>
      <c r="F231" s="79">
        <v>10</v>
      </c>
      <c r="G231" s="15" t="s">
        <v>51</v>
      </c>
      <c r="J231" s="135"/>
      <c r="K231" s="16"/>
    </row>
    <row r="232" spans="1:11" ht="15.75" customHeight="1">
      <c r="A232" s="367"/>
      <c r="B232" s="256"/>
      <c r="C232" s="325"/>
      <c r="D232" s="393" t="s">
        <v>159</v>
      </c>
      <c r="E232" s="394"/>
      <c r="F232" s="81">
        <f>IF(F231&gt;0,F230/F231,0)</f>
        <v>25</v>
      </c>
      <c r="J232" s="136"/>
      <c r="K232" s="16"/>
    </row>
    <row r="233" spans="1:11" ht="15.75" hidden="1" customHeight="1">
      <c r="A233" s="367"/>
      <c r="B233" s="256"/>
      <c r="C233" s="325"/>
      <c r="D233" s="420" t="s">
        <v>160</v>
      </c>
      <c r="E233" s="420"/>
      <c r="F233" s="84">
        <f>IF(F232&gt;E236,0,IF(F232&gt;E235,-4/(E236-E235)*(F232-E235)+4,IF(F232&gt;=E234,4,4/E234*F232)))</f>
        <v>4</v>
      </c>
      <c r="J233" s="136"/>
      <c r="K233" s="16"/>
    </row>
    <row r="234" spans="1:11" ht="15.75" hidden="1" customHeight="1">
      <c r="A234" s="367"/>
      <c r="B234" s="256"/>
      <c r="C234" s="325"/>
      <c r="D234" s="83" t="s">
        <v>142</v>
      </c>
      <c r="E234" s="83">
        <v>15</v>
      </c>
      <c r="F234" s="84"/>
      <c r="J234" s="136"/>
      <c r="K234" s="16"/>
    </row>
    <row r="235" spans="1:11" ht="15.75" hidden="1" customHeight="1">
      <c r="A235" s="367"/>
      <c r="B235" s="256"/>
      <c r="C235" s="325"/>
      <c r="D235" s="83" t="s">
        <v>143</v>
      </c>
      <c r="E235" s="83">
        <v>25</v>
      </c>
      <c r="F235" s="84"/>
      <c r="J235" s="136"/>
      <c r="K235" s="16"/>
    </row>
    <row r="236" spans="1:11" ht="15.75" hidden="1" customHeight="1">
      <c r="A236" s="367"/>
      <c r="B236" s="256"/>
      <c r="C236" s="325"/>
      <c r="D236" s="83" t="s">
        <v>161</v>
      </c>
      <c r="E236" s="83">
        <v>35</v>
      </c>
      <c r="F236" s="84"/>
      <c r="J236" s="136"/>
      <c r="K236" s="16"/>
    </row>
    <row r="237" spans="1:11" ht="15.75" hidden="1" customHeight="1">
      <c r="A237" s="367"/>
      <c r="B237" s="256"/>
      <c r="C237" s="325"/>
      <c r="D237" s="420" t="s">
        <v>162</v>
      </c>
      <c r="E237" s="420"/>
      <c r="F237" s="84">
        <f>IF(F232&gt;E240,0,IF(F232&gt;E239,-4/(E240-E239)*(F232-E239)+4,IF(F232&gt;=E238,4,4/E238*F232)))</f>
        <v>4</v>
      </c>
      <c r="J237" s="136"/>
      <c r="K237" s="16"/>
    </row>
    <row r="238" spans="1:11" ht="15.75" hidden="1" customHeight="1">
      <c r="A238" s="367"/>
      <c r="B238" s="256"/>
      <c r="C238" s="325"/>
      <c r="D238" s="89" t="s">
        <v>142</v>
      </c>
      <c r="E238" s="90">
        <v>25</v>
      </c>
      <c r="F238" s="137"/>
      <c r="J238" s="136"/>
      <c r="K238" s="16"/>
    </row>
    <row r="239" spans="1:11" ht="15.75" hidden="1" customHeight="1">
      <c r="A239" s="367"/>
      <c r="B239" s="256"/>
      <c r="C239" s="325"/>
      <c r="D239" s="89" t="s">
        <v>143</v>
      </c>
      <c r="E239" s="90">
        <v>35</v>
      </c>
      <c r="F239" s="137"/>
      <c r="J239" s="136"/>
      <c r="K239" s="16"/>
    </row>
    <row r="240" spans="1:11" ht="15.75" hidden="1" customHeight="1">
      <c r="A240" s="367"/>
      <c r="B240" s="256"/>
      <c r="C240" s="325"/>
      <c r="D240" s="89" t="s">
        <v>161</v>
      </c>
      <c r="E240" s="90">
        <v>50</v>
      </c>
      <c r="F240" s="137"/>
      <c r="J240" s="136"/>
      <c r="K240" s="16"/>
    </row>
    <row r="241" spans="1:11" ht="35.450000000000003" customHeight="1">
      <c r="A241" s="367"/>
      <c r="B241" s="256"/>
      <c r="C241" s="325"/>
      <c r="D241" s="421" t="s">
        <v>163</v>
      </c>
      <c r="E241" s="422"/>
      <c r="F241" s="138" t="str">
        <f>F147</f>
        <v>Tinggi</v>
      </c>
      <c r="J241" s="136"/>
      <c r="K241" s="16"/>
    </row>
    <row r="242" spans="1:11" ht="33.6" customHeight="1" thickBot="1">
      <c r="A242" s="367"/>
      <c r="B242" s="256"/>
      <c r="C242" s="325"/>
      <c r="D242" s="403" t="s">
        <v>164</v>
      </c>
      <c r="E242" s="423"/>
      <c r="F242" s="424"/>
      <c r="J242" s="136"/>
      <c r="K242" s="16"/>
    </row>
    <row r="243" spans="1:11">
      <c r="A243" s="368"/>
      <c r="B243" s="257"/>
      <c r="C243" s="326"/>
      <c r="D243" s="418" t="s">
        <v>27</v>
      </c>
      <c r="E243" s="419"/>
      <c r="F243" s="117">
        <f>IF(F241="Tinggi",IF(F225="Saintek",F233,F237),F164)</f>
        <v>4</v>
      </c>
      <c r="J243" s="82"/>
      <c r="K243" s="16"/>
    </row>
    <row r="244" spans="1:11">
      <c r="D244" s="95"/>
      <c r="E244" s="96"/>
      <c r="K244" s="97"/>
    </row>
    <row r="245" spans="1:11" ht="43.35" customHeight="1">
      <c r="A245" s="366">
        <v>21</v>
      </c>
      <c r="B245" s="255"/>
      <c r="C245" s="334"/>
      <c r="D245" s="392" t="s">
        <v>165</v>
      </c>
      <c r="E245" s="392"/>
      <c r="F245" s="78"/>
      <c r="K245" s="58"/>
    </row>
    <row r="246" spans="1:11" ht="33" customHeight="1">
      <c r="A246" s="367"/>
      <c r="B246" s="256"/>
      <c r="C246" s="325"/>
      <c r="D246" s="393" t="s">
        <v>166</v>
      </c>
      <c r="E246" s="394"/>
      <c r="F246" s="79">
        <v>4.2333333333332996</v>
      </c>
      <c r="G246" s="15" t="s">
        <v>51</v>
      </c>
      <c r="J246" s="80"/>
      <c r="K246" s="16"/>
    </row>
    <row r="247" spans="1:11">
      <c r="A247" s="367"/>
      <c r="B247" s="256"/>
      <c r="C247" s="325"/>
      <c r="D247" s="393" t="s">
        <v>167</v>
      </c>
      <c r="E247" s="394"/>
      <c r="F247" s="79">
        <v>0</v>
      </c>
      <c r="G247" s="15" t="s">
        <v>51</v>
      </c>
      <c r="J247" s="80"/>
      <c r="K247" s="16"/>
    </row>
    <row r="248" spans="1:11" ht="15.75" customHeight="1">
      <c r="A248" s="367"/>
      <c r="B248" s="256"/>
      <c r="C248" s="325"/>
      <c r="D248" s="393" t="s">
        <v>168</v>
      </c>
      <c r="E248" s="394"/>
      <c r="F248" s="81">
        <f>(F246+F247)/2</f>
        <v>2.1166666666666498</v>
      </c>
      <c r="J248" s="118"/>
      <c r="K248" s="16"/>
    </row>
    <row r="249" spans="1:11" ht="15.75" hidden="1" customHeight="1">
      <c r="A249" s="367"/>
      <c r="B249" s="256"/>
      <c r="C249" s="325"/>
      <c r="D249" s="83" t="s">
        <v>142</v>
      </c>
      <c r="E249" s="83">
        <v>6</v>
      </c>
      <c r="F249" s="84"/>
      <c r="J249" s="136"/>
      <c r="K249" s="16"/>
    </row>
    <row r="250" spans="1:11" ht="15.75" hidden="1" customHeight="1">
      <c r="A250" s="367"/>
      <c r="B250" s="256"/>
      <c r="C250" s="325"/>
      <c r="D250" s="83" t="s">
        <v>143</v>
      </c>
      <c r="E250" s="83">
        <v>10</v>
      </c>
      <c r="F250" s="84"/>
      <c r="J250" s="136"/>
      <c r="K250" s="16"/>
    </row>
    <row r="251" spans="1:11" ht="15.75" thickBot="1">
      <c r="A251" s="368"/>
      <c r="B251" s="257"/>
      <c r="C251" s="326"/>
      <c r="D251" s="403" t="s">
        <v>27</v>
      </c>
      <c r="E251" s="404"/>
      <c r="F251" s="63">
        <f>IF(OR(F248=0,F248&gt;E250),0,IF(F248&gt;E249,-2/(E250-E249)*(F248-E249)+4,4))</f>
        <v>4</v>
      </c>
      <c r="K251" s="16"/>
    </row>
    <row r="252" spans="1:11" ht="15.75" thickBot="1">
      <c r="D252" s="95"/>
      <c r="E252" s="96"/>
      <c r="K252" s="97"/>
    </row>
    <row r="253" spans="1:11" ht="43.35" customHeight="1">
      <c r="A253" s="366">
        <v>22</v>
      </c>
      <c r="B253" s="255"/>
      <c r="C253" s="334"/>
      <c r="D253" s="392" t="s">
        <v>169</v>
      </c>
      <c r="E253" s="392"/>
      <c r="F253" s="78"/>
      <c r="K253" s="58"/>
    </row>
    <row r="254" spans="1:11">
      <c r="A254" s="367"/>
      <c r="B254" s="256"/>
      <c r="C254" s="325"/>
      <c r="D254" s="393" t="s">
        <v>170</v>
      </c>
      <c r="E254" s="394"/>
      <c r="F254" s="139">
        <v>7.875</v>
      </c>
      <c r="G254" s="15" t="s">
        <v>51</v>
      </c>
      <c r="J254" s="80"/>
      <c r="K254" s="16"/>
    </row>
    <row r="255" spans="1:11">
      <c r="A255" s="367"/>
      <c r="B255" s="256"/>
      <c r="C255" s="325"/>
      <c r="D255" s="393" t="s">
        <v>171</v>
      </c>
      <c r="E255" s="394"/>
      <c r="F255" s="139">
        <v>7.875</v>
      </c>
      <c r="G255" s="15" t="s">
        <v>51</v>
      </c>
      <c r="J255" s="80"/>
      <c r="K255" s="16"/>
    </row>
    <row r="256" spans="1:11" ht="15.75" customHeight="1">
      <c r="A256" s="367"/>
      <c r="B256" s="256"/>
      <c r="C256" s="325"/>
      <c r="D256" s="393" t="s">
        <v>172</v>
      </c>
      <c r="E256" s="394"/>
      <c r="F256" s="81">
        <f>F255</f>
        <v>7.875</v>
      </c>
      <c r="J256" s="118"/>
      <c r="K256" s="16"/>
    </row>
    <row r="257" spans="1:11" ht="15.75" hidden="1" customHeight="1">
      <c r="A257" s="367"/>
      <c r="B257" s="256"/>
      <c r="C257" s="325"/>
      <c r="D257" s="83" t="s">
        <v>142</v>
      </c>
      <c r="E257" s="83">
        <v>6</v>
      </c>
      <c r="F257" s="84"/>
      <c r="J257" s="136"/>
      <c r="K257" s="16"/>
    </row>
    <row r="258" spans="1:11" ht="15.75" hidden="1" customHeight="1">
      <c r="A258" s="367"/>
      <c r="B258" s="256"/>
      <c r="C258" s="325"/>
      <c r="D258" s="83" t="s">
        <v>143</v>
      </c>
      <c r="E258" s="83">
        <v>12</v>
      </c>
      <c r="F258" s="84"/>
      <c r="J258" s="136"/>
      <c r="K258" s="16"/>
    </row>
    <row r="259" spans="1:11" ht="15.75" hidden="1" customHeight="1">
      <c r="A259" s="367"/>
      <c r="B259" s="256"/>
      <c r="C259" s="325"/>
      <c r="D259" s="83" t="s">
        <v>161</v>
      </c>
      <c r="E259" s="83">
        <v>16</v>
      </c>
      <c r="F259" s="84"/>
      <c r="J259" s="136"/>
      <c r="K259" s="16"/>
    </row>
    <row r="260" spans="1:11" ht="15.75" hidden="1" customHeight="1">
      <c r="A260" s="367"/>
      <c r="B260" s="256"/>
      <c r="C260" s="325"/>
      <c r="D260" s="140" t="s">
        <v>173</v>
      </c>
      <c r="E260" s="83">
        <v>18</v>
      </c>
      <c r="F260" s="84"/>
      <c r="J260" s="136"/>
      <c r="K260" s="16"/>
    </row>
    <row r="261" spans="1:11" ht="15.75" thickBot="1">
      <c r="A261" s="368"/>
      <c r="B261" s="257"/>
      <c r="C261" s="326"/>
      <c r="D261" s="403" t="s">
        <v>27</v>
      </c>
      <c r="E261" s="404"/>
      <c r="F261" s="63">
        <f>IF(F256&gt;E260,0,IF(F256&gt;=E259,-4/(E260-E259)*(F256-E259)+4,IF(F256&gt;=E258,4,IF(F256&gt;=E257,4/(E258-E257)*(F256-E257),0))))</f>
        <v>1.25</v>
      </c>
      <c r="K261" s="16"/>
    </row>
    <row r="262" spans="1:11" ht="15.75" thickBot="1">
      <c r="D262" s="95"/>
      <c r="E262" s="96"/>
      <c r="K262" s="97"/>
    </row>
    <row r="263" spans="1:11" ht="43.35" customHeight="1">
      <c r="A263" s="366">
        <v>23</v>
      </c>
      <c r="B263" s="255"/>
      <c r="C263" s="334"/>
      <c r="D263" s="392" t="s">
        <v>174</v>
      </c>
      <c r="E263" s="392"/>
      <c r="F263" s="78"/>
      <c r="K263" s="58"/>
    </row>
    <row r="264" spans="1:11" ht="32.450000000000003" customHeight="1">
      <c r="A264" s="367"/>
      <c r="B264" s="256"/>
      <c r="C264" s="325"/>
      <c r="D264" s="393" t="s">
        <v>175</v>
      </c>
      <c r="E264" s="394"/>
      <c r="F264" s="79">
        <v>2</v>
      </c>
      <c r="G264" s="15" t="s">
        <v>51</v>
      </c>
      <c r="J264" s="80"/>
      <c r="K264" s="16"/>
    </row>
    <row r="265" spans="1:11" ht="32.1" customHeight="1">
      <c r="A265" s="367"/>
      <c r="B265" s="256"/>
      <c r="C265" s="325"/>
      <c r="D265" s="393" t="s">
        <v>176</v>
      </c>
      <c r="E265" s="394"/>
      <c r="F265" s="79">
        <v>20</v>
      </c>
      <c r="G265" s="15" t="s">
        <v>51</v>
      </c>
      <c r="J265" s="80"/>
      <c r="K265" s="16"/>
    </row>
    <row r="266" spans="1:11" ht="15.75" customHeight="1">
      <c r="A266" s="367"/>
      <c r="B266" s="256"/>
      <c r="C266" s="325"/>
      <c r="D266" s="393" t="s">
        <v>177</v>
      </c>
      <c r="E266" s="394"/>
      <c r="F266" s="127">
        <f>IF((F264+F265)&gt;0,F264/(F264+F265),0)</f>
        <v>9.0909090909090912E-2</v>
      </c>
      <c r="J266" s="118"/>
      <c r="K266" s="16"/>
    </row>
    <row r="267" spans="1:11" ht="15.75" hidden="1" customHeight="1">
      <c r="A267" s="367"/>
      <c r="B267" s="256"/>
      <c r="C267" s="325"/>
      <c r="D267" s="83" t="s">
        <v>142</v>
      </c>
      <c r="E267" s="141">
        <v>0.1</v>
      </c>
      <c r="F267" s="84"/>
      <c r="J267" s="136"/>
      <c r="K267" s="16"/>
    </row>
    <row r="268" spans="1:11" ht="15.75" hidden="1" customHeight="1">
      <c r="A268" s="367"/>
      <c r="B268" s="256"/>
      <c r="C268" s="325"/>
      <c r="D268" s="83" t="s">
        <v>143</v>
      </c>
      <c r="E268" s="141">
        <v>0.4</v>
      </c>
      <c r="F268" s="84"/>
      <c r="J268" s="136"/>
      <c r="K268" s="16"/>
    </row>
    <row r="269" spans="1:11" ht="15.75" thickBot="1">
      <c r="A269" s="368"/>
      <c r="B269" s="257"/>
      <c r="C269" s="326"/>
      <c r="D269" s="403" t="s">
        <v>27</v>
      </c>
      <c r="E269" s="404"/>
      <c r="F269" s="63">
        <f>IF(F266&gt;E268,0,IF(F266&gt;E267,-2/(E268-E267)*(F266-E267)+4,4))</f>
        <v>4</v>
      </c>
      <c r="K269" s="16"/>
    </row>
    <row r="270" spans="1:11" ht="15.75" thickBot="1">
      <c r="D270" s="95"/>
      <c r="E270" s="96"/>
      <c r="K270" s="97"/>
    </row>
    <row r="271" spans="1:11" ht="43.35" hidden="1" customHeight="1">
      <c r="A271" s="360"/>
      <c r="B271" s="258"/>
      <c r="C271" s="328"/>
      <c r="D271" s="410"/>
      <c r="E271" s="410"/>
      <c r="F271" s="130"/>
      <c r="K271" s="58"/>
    </row>
    <row r="272" spans="1:11" ht="32.450000000000003" hidden="1" customHeight="1">
      <c r="A272" s="361"/>
      <c r="B272" s="259"/>
      <c r="C272" s="329"/>
      <c r="D272" s="405"/>
      <c r="E272" s="406"/>
      <c r="F272" s="131"/>
      <c r="J272" s="80"/>
      <c r="K272" s="16"/>
    </row>
    <row r="273" spans="1:11" ht="14.45" hidden="1" customHeight="1">
      <c r="A273" s="361"/>
      <c r="B273" s="259"/>
      <c r="C273" s="329"/>
      <c r="D273" s="405"/>
      <c r="E273" s="406"/>
      <c r="F273" s="131"/>
      <c r="J273" s="80"/>
      <c r="K273" s="16"/>
    </row>
    <row r="274" spans="1:11" ht="15.75" hidden="1" customHeight="1">
      <c r="A274" s="361"/>
      <c r="B274" s="259"/>
      <c r="C274" s="329"/>
      <c r="D274" s="405"/>
      <c r="E274" s="406"/>
      <c r="F274" s="132"/>
      <c r="J274" s="118"/>
      <c r="K274" s="16"/>
    </row>
    <row r="275" spans="1:11" ht="15.75" hidden="1" customHeight="1">
      <c r="A275" s="361"/>
      <c r="B275" s="259"/>
      <c r="C275" s="329"/>
      <c r="D275" s="83"/>
      <c r="E275" s="141"/>
      <c r="F275" s="84"/>
      <c r="J275" s="136"/>
      <c r="K275" s="16"/>
    </row>
    <row r="276" spans="1:11" ht="15" hidden="1" customHeight="1">
      <c r="A276" s="362"/>
      <c r="B276" s="260"/>
      <c r="C276" s="330"/>
      <c r="D276" s="407"/>
      <c r="E276" s="408"/>
      <c r="F276" s="133"/>
      <c r="K276" s="16"/>
    </row>
    <row r="277" spans="1:11" ht="15" hidden="1" customHeight="1">
      <c r="D277" s="95"/>
      <c r="E277" s="96"/>
      <c r="K277" s="97"/>
    </row>
    <row r="278" spans="1:11" ht="339" customHeight="1">
      <c r="A278" s="366">
        <v>24</v>
      </c>
      <c r="B278" s="255"/>
      <c r="C278" s="334" t="s">
        <v>178</v>
      </c>
      <c r="D278" s="392" t="s">
        <v>179</v>
      </c>
      <c r="E278" s="392"/>
      <c r="F278" s="78"/>
      <c r="K278" s="58"/>
    </row>
    <row r="279" spans="1:11" ht="32.450000000000003" customHeight="1">
      <c r="A279" s="367"/>
      <c r="B279" s="256"/>
      <c r="C279" s="325"/>
      <c r="D279" s="393" t="s">
        <v>180</v>
      </c>
      <c r="E279" s="394"/>
      <c r="F279" s="79">
        <v>2</v>
      </c>
      <c r="G279" s="15" t="s">
        <v>51</v>
      </c>
      <c r="J279" s="80"/>
      <c r="K279" s="16"/>
    </row>
    <row r="280" spans="1:11" ht="47.1" customHeight="1">
      <c r="A280" s="367"/>
      <c r="B280" s="256"/>
      <c r="C280" s="325"/>
      <c r="D280" s="393" t="s">
        <v>54</v>
      </c>
      <c r="E280" s="394"/>
      <c r="F280" s="79">
        <v>8</v>
      </c>
      <c r="G280" s="15" t="s">
        <v>51</v>
      </c>
      <c r="J280" s="80"/>
      <c r="K280" s="16"/>
    </row>
    <row r="281" spans="1:11" ht="15.75" customHeight="1">
      <c r="A281" s="367"/>
      <c r="B281" s="256"/>
      <c r="C281" s="325"/>
      <c r="D281" s="393" t="s">
        <v>181</v>
      </c>
      <c r="E281" s="394"/>
      <c r="F281" s="81">
        <f>IF(F280&gt;0,F279/F280,0)</f>
        <v>0.25</v>
      </c>
      <c r="J281" s="118"/>
      <c r="K281" s="16"/>
    </row>
    <row r="282" spans="1:11" ht="15.75" hidden="1" customHeight="1">
      <c r="A282" s="367"/>
      <c r="B282" s="256"/>
      <c r="C282" s="325"/>
      <c r="D282" s="83" t="s">
        <v>109</v>
      </c>
      <c r="E282" s="142">
        <v>0.5</v>
      </c>
      <c r="F282" s="84"/>
      <c r="J282" s="136"/>
      <c r="K282" s="16"/>
    </row>
    <row r="283" spans="1:11" ht="15.75" thickBot="1">
      <c r="A283" s="368"/>
      <c r="B283" s="257"/>
      <c r="C283" s="326"/>
      <c r="D283" s="403" t="s">
        <v>27</v>
      </c>
      <c r="E283" s="404"/>
      <c r="F283" s="63">
        <f>IF(F281&gt;=E282,4,2+2/E282*F281)</f>
        <v>3</v>
      </c>
      <c r="K283" s="16"/>
    </row>
    <row r="284" spans="1:11" ht="15.75" thickBot="1">
      <c r="D284" s="95"/>
      <c r="E284" s="96"/>
      <c r="K284" s="97"/>
    </row>
    <row r="285" spans="1:11" ht="48" customHeight="1">
      <c r="A285" s="366">
        <v>25</v>
      </c>
      <c r="B285" s="255"/>
      <c r="C285" s="334"/>
      <c r="D285" s="392" t="s">
        <v>182</v>
      </c>
      <c r="E285" s="392"/>
      <c r="F285" s="143"/>
      <c r="K285" s="58"/>
    </row>
    <row r="286" spans="1:11" ht="39" customHeight="1">
      <c r="A286" s="367"/>
      <c r="B286" s="256"/>
      <c r="C286" s="325"/>
      <c r="D286" s="393" t="s">
        <v>183</v>
      </c>
      <c r="E286" s="394"/>
      <c r="F286" s="79">
        <v>0</v>
      </c>
      <c r="G286" s="15" t="s">
        <v>51</v>
      </c>
      <c r="J286" s="80"/>
      <c r="K286" s="16"/>
    </row>
    <row r="287" spans="1:11" ht="42" customHeight="1">
      <c r="A287" s="367"/>
      <c r="B287" s="256"/>
      <c r="C287" s="325"/>
      <c r="D287" s="393" t="s">
        <v>184</v>
      </c>
      <c r="E287" s="394"/>
      <c r="F287" s="79">
        <v>0</v>
      </c>
      <c r="G287" s="15" t="s">
        <v>51</v>
      </c>
      <c r="J287" s="80"/>
      <c r="K287" s="16"/>
    </row>
    <row r="288" spans="1:11" ht="21.95" customHeight="1">
      <c r="A288" s="367"/>
      <c r="B288" s="256"/>
      <c r="C288" s="325"/>
      <c r="D288" s="393" t="s">
        <v>185</v>
      </c>
      <c r="E288" s="394"/>
      <c r="F288" s="79">
        <v>18</v>
      </c>
      <c r="G288" s="15" t="s">
        <v>51</v>
      </c>
      <c r="J288" s="80"/>
      <c r="K288" s="16"/>
    </row>
    <row r="289" spans="1:11" ht="47.45" customHeight="1">
      <c r="A289" s="367"/>
      <c r="B289" s="256"/>
      <c r="C289" s="325"/>
      <c r="D289" s="393" t="s">
        <v>54</v>
      </c>
      <c r="E289" s="394"/>
      <c r="F289" s="79">
        <v>8</v>
      </c>
      <c r="G289" s="15" t="s">
        <v>51</v>
      </c>
      <c r="J289" s="80"/>
      <c r="K289" s="16"/>
    </row>
    <row r="290" spans="1:11">
      <c r="A290" s="367"/>
      <c r="B290" s="256"/>
      <c r="C290" s="325"/>
      <c r="D290" s="393" t="s">
        <v>186</v>
      </c>
      <c r="E290" s="394"/>
      <c r="F290" s="81">
        <f>IF(F289&gt;0,F286/3/F289,0)</f>
        <v>0</v>
      </c>
      <c r="J290" s="82"/>
      <c r="K290" s="16"/>
    </row>
    <row r="291" spans="1:11" ht="15.75" customHeight="1">
      <c r="A291" s="367"/>
      <c r="B291" s="256"/>
      <c r="C291" s="325"/>
      <c r="D291" s="393" t="s">
        <v>187</v>
      </c>
      <c r="E291" s="394"/>
      <c r="F291" s="81">
        <f>IF(F289&gt;0,F287/3/F289,0)</f>
        <v>0</v>
      </c>
      <c r="J291" s="82"/>
      <c r="K291" s="16"/>
    </row>
    <row r="292" spans="1:11" ht="15.75" customHeight="1">
      <c r="A292" s="367"/>
      <c r="B292" s="256"/>
      <c r="C292" s="325"/>
      <c r="D292" s="393" t="s">
        <v>188</v>
      </c>
      <c r="E292" s="394"/>
      <c r="F292" s="81">
        <f>IF(F289&gt;0,F288/3/F289,0)</f>
        <v>0.75</v>
      </c>
      <c r="J292" s="82"/>
      <c r="K292" s="16"/>
    </row>
    <row r="293" spans="1:11" ht="15.75" hidden="1" customHeight="1">
      <c r="A293" s="367"/>
      <c r="B293" s="256"/>
      <c r="C293" s="325"/>
      <c r="D293" s="83" t="s">
        <v>56</v>
      </c>
      <c r="E293" s="144">
        <v>0.05</v>
      </c>
      <c r="F293" s="84"/>
      <c r="J293" s="82"/>
      <c r="K293" s="16"/>
    </row>
    <row r="294" spans="1:11" ht="15.75" hidden="1" customHeight="1">
      <c r="A294" s="367"/>
      <c r="B294" s="256"/>
      <c r="C294" s="325"/>
      <c r="D294" s="83" t="s">
        <v>57</v>
      </c>
      <c r="E294" s="144">
        <v>0.3</v>
      </c>
      <c r="F294" s="84"/>
      <c r="J294" s="82"/>
      <c r="K294" s="16"/>
    </row>
    <row r="295" spans="1:11" ht="15.75" hidden="1" customHeight="1">
      <c r="A295" s="367"/>
      <c r="B295" s="256"/>
      <c r="C295" s="325"/>
      <c r="D295" s="83" t="s">
        <v>58</v>
      </c>
      <c r="E295" s="144">
        <v>1</v>
      </c>
      <c r="F295" s="84"/>
      <c r="J295" s="82"/>
      <c r="K295" s="16"/>
    </row>
    <row r="296" spans="1:11" ht="15.75" hidden="1" customHeight="1">
      <c r="A296" s="367"/>
      <c r="B296" s="256"/>
      <c r="C296" s="325"/>
      <c r="D296" s="89"/>
      <c r="E296" s="90" t="s">
        <v>189</v>
      </c>
      <c r="F296" s="91" t="str">
        <f>IF(F290&gt;=E293,"YES","NO")</f>
        <v>NO</v>
      </c>
      <c r="J296" s="82"/>
      <c r="K296" s="16"/>
    </row>
    <row r="297" spans="1:11" ht="15.75" hidden="1" customHeight="1">
      <c r="A297" s="367"/>
      <c r="B297" s="256"/>
      <c r="C297" s="325"/>
      <c r="D297" s="89"/>
      <c r="E297" s="90" t="s">
        <v>190</v>
      </c>
      <c r="F297" s="91" t="str">
        <f>IF(AND(F290&lt;E293,F291&gt;=E294),"YES","NO")</f>
        <v>NO</v>
      </c>
      <c r="J297" s="82"/>
      <c r="K297" s="16"/>
    </row>
    <row r="298" spans="1:11" ht="15.75" hidden="1" customHeight="1">
      <c r="A298" s="367"/>
      <c r="B298" s="256"/>
      <c r="C298" s="325"/>
      <c r="D298" s="89"/>
      <c r="E298" s="90" t="s">
        <v>191</v>
      </c>
      <c r="F298" s="91" t="str">
        <f>IF(OR(AND(F290&gt;0,F290&lt;E293,F291=0),AND(F291&gt;0,F291&lt;E294,F290=0),AND(F290&gt;0,F290&lt;E293,F291&gt;0,F291&lt;E294)),"YES","NO")</f>
        <v>NO</v>
      </c>
      <c r="J298" s="82"/>
      <c r="K298" s="16"/>
    </row>
    <row r="299" spans="1:11" ht="15.75" hidden="1" customHeight="1">
      <c r="A299" s="367"/>
      <c r="B299" s="256"/>
      <c r="C299" s="325"/>
      <c r="D299" s="89"/>
      <c r="E299" s="90" t="s">
        <v>192</v>
      </c>
      <c r="F299" s="91" t="str">
        <f>IF(AND(F290=0,F291=0,F292&gt;=E295),"YES","NO")</f>
        <v>NO</v>
      </c>
      <c r="J299" s="82"/>
      <c r="K299" s="16"/>
    </row>
    <row r="300" spans="1:11" ht="15.75" hidden="1" customHeight="1">
      <c r="A300" s="367"/>
      <c r="B300" s="256"/>
      <c r="C300" s="325"/>
      <c r="D300" s="89"/>
      <c r="E300" s="90" t="s">
        <v>193</v>
      </c>
      <c r="F300" s="91" t="str">
        <f>IF(AND(F290=0,F291=0,F292&lt;E295),"YES","NO")</f>
        <v>YES</v>
      </c>
      <c r="J300" s="82"/>
      <c r="K300" s="16"/>
    </row>
    <row r="301" spans="1:11" ht="15" customHeight="1" thickBot="1">
      <c r="A301" s="368"/>
      <c r="B301" s="257"/>
      <c r="C301" s="326"/>
      <c r="D301" s="403" t="s">
        <v>27</v>
      </c>
      <c r="E301" s="404"/>
      <c r="F301" s="63">
        <f>IF(F296="YES",4,IF(F297="YES",3+F290/E293,IF(F298="YES",2+2*F290/E293+F291/E294-(F290*F291)/(E293*E294),IF(F299="YES",2,2*F292/E295))))</f>
        <v>1.5</v>
      </c>
      <c r="J301" s="85"/>
      <c r="K301" s="16"/>
    </row>
    <row r="302" spans="1:11" ht="15.75" thickBot="1">
      <c r="D302" s="95"/>
      <c r="E302" s="96"/>
      <c r="K302" s="97"/>
    </row>
    <row r="303" spans="1:11" ht="48" customHeight="1">
      <c r="A303" s="366">
        <v>26</v>
      </c>
      <c r="B303" s="255"/>
      <c r="C303" s="334"/>
      <c r="D303" s="392" t="s">
        <v>194</v>
      </c>
      <c r="E303" s="392"/>
      <c r="F303" s="143"/>
      <c r="K303" s="58"/>
    </row>
    <row r="304" spans="1:11" ht="31.35" customHeight="1">
      <c r="A304" s="367"/>
      <c r="B304" s="256"/>
      <c r="C304" s="325"/>
      <c r="D304" s="393" t="s">
        <v>195</v>
      </c>
      <c r="E304" s="394"/>
      <c r="F304" s="79">
        <v>0</v>
      </c>
      <c r="G304" s="15" t="s">
        <v>51</v>
      </c>
      <c r="J304" s="80"/>
      <c r="K304" s="16"/>
    </row>
    <row r="305" spans="1:11" ht="32.1" customHeight="1">
      <c r="A305" s="367"/>
      <c r="B305" s="256"/>
      <c r="C305" s="325"/>
      <c r="D305" s="393" t="s">
        <v>196</v>
      </c>
      <c r="E305" s="394"/>
      <c r="F305" s="79">
        <v>0</v>
      </c>
      <c r="G305" s="15" t="s">
        <v>51</v>
      </c>
      <c r="J305" s="80"/>
      <c r="K305" s="16"/>
    </row>
    <row r="306" spans="1:11">
      <c r="A306" s="367"/>
      <c r="B306" s="256"/>
      <c r="C306" s="325"/>
      <c r="D306" s="393" t="s">
        <v>197</v>
      </c>
      <c r="E306" s="394"/>
      <c r="F306" s="79">
        <v>18</v>
      </c>
      <c r="G306" s="15" t="s">
        <v>51</v>
      </c>
      <c r="J306" s="80"/>
      <c r="K306" s="16"/>
    </row>
    <row r="307" spans="1:11" ht="47.45" customHeight="1">
      <c r="A307" s="367"/>
      <c r="B307" s="256"/>
      <c r="C307" s="325"/>
      <c r="D307" s="393" t="s">
        <v>54</v>
      </c>
      <c r="E307" s="394"/>
      <c r="F307" s="79">
        <v>8</v>
      </c>
      <c r="G307" s="15" t="s">
        <v>51</v>
      </c>
      <c r="J307" s="80"/>
      <c r="K307" s="16"/>
    </row>
    <row r="308" spans="1:11">
      <c r="A308" s="367"/>
      <c r="B308" s="256"/>
      <c r="C308" s="325"/>
      <c r="D308" s="393" t="s">
        <v>186</v>
      </c>
      <c r="E308" s="394"/>
      <c r="F308" s="81">
        <f>IF(F307&gt;0,F304/3/F307,0)</f>
        <v>0</v>
      </c>
      <c r="J308" s="82"/>
      <c r="K308" s="16"/>
    </row>
    <row r="309" spans="1:11" ht="15.75" customHeight="1">
      <c r="A309" s="367"/>
      <c r="B309" s="256"/>
      <c r="C309" s="325"/>
      <c r="D309" s="393" t="s">
        <v>187</v>
      </c>
      <c r="E309" s="394"/>
      <c r="F309" s="81">
        <f>IF(F307&gt;0,F305/3/F307,0)</f>
        <v>0</v>
      </c>
      <c r="J309" s="82"/>
      <c r="K309" s="16"/>
    </row>
    <row r="310" spans="1:11" ht="15.75" customHeight="1">
      <c r="A310" s="367"/>
      <c r="B310" s="256"/>
      <c r="C310" s="325"/>
      <c r="D310" s="393" t="s">
        <v>188</v>
      </c>
      <c r="E310" s="394"/>
      <c r="F310" s="81">
        <f>IF(F307&gt;0,F306/3/F307,0)</f>
        <v>0.75</v>
      </c>
      <c r="J310" s="82"/>
      <c r="K310" s="16"/>
    </row>
    <row r="311" spans="1:11" ht="15.75" hidden="1" customHeight="1">
      <c r="A311" s="367"/>
      <c r="B311" s="256"/>
      <c r="C311" s="325"/>
      <c r="D311" s="83" t="s">
        <v>56</v>
      </c>
      <c r="E311" s="144">
        <v>0.05</v>
      </c>
      <c r="F311" s="84"/>
      <c r="J311" s="82"/>
      <c r="K311" s="16"/>
    </row>
    <row r="312" spans="1:11" ht="15.75" hidden="1" customHeight="1">
      <c r="A312" s="367"/>
      <c r="B312" s="256"/>
      <c r="C312" s="325"/>
      <c r="D312" s="83" t="s">
        <v>57</v>
      </c>
      <c r="E312" s="144">
        <v>0.3</v>
      </c>
      <c r="F312" s="84"/>
      <c r="J312" s="82"/>
      <c r="K312" s="16"/>
    </row>
    <row r="313" spans="1:11" ht="15.75" hidden="1" customHeight="1">
      <c r="A313" s="367"/>
      <c r="B313" s="256"/>
      <c r="C313" s="325"/>
      <c r="D313" s="83" t="s">
        <v>58</v>
      </c>
      <c r="E313" s="144">
        <v>1</v>
      </c>
      <c r="F313" s="84"/>
      <c r="J313" s="82"/>
      <c r="K313" s="16"/>
    </row>
    <row r="314" spans="1:11" ht="15.75" hidden="1" customHeight="1">
      <c r="A314" s="367"/>
      <c r="B314" s="256"/>
      <c r="C314" s="325"/>
      <c r="D314" s="89"/>
      <c r="E314" s="90" t="s">
        <v>189</v>
      </c>
      <c r="F314" s="91" t="str">
        <f>IF(F308&gt;=E311,"YES","NO")</f>
        <v>NO</v>
      </c>
      <c r="J314" s="82"/>
      <c r="K314" s="16"/>
    </row>
    <row r="315" spans="1:11" ht="15.75" hidden="1" customHeight="1">
      <c r="A315" s="367"/>
      <c r="B315" s="256"/>
      <c r="C315" s="325"/>
      <c r="D315" s="89"/>
      <c r="E315" s="90" t="s">
        <v>190</v>
      </c>
      <c r="F315" s="91" t="str">
        <f>IF(AND(F308&lt;E311,F309&gt;=E312),"YES","NO")</f>
        <v>NO</v>
      </c>
      <c r="J315" s="82"/>
      <c r="K315" s="16"/>
    </row>
    <row r="316" spans="1:11" ht="15.75" hidden="1" customHeight="1">
      <c r="A316" s="367"/>
      <c r="B316" s="256"/>
      <c r="C316" s="325"/>
      <c r="D316" s="89"/>
      <c r="E316" s="90" t="s">
        <v>191</v>
      </c>
      <c r="F316" s="91" t="str">
        <f>IF(OR(AND(F308&gt;0,F308&lt;E311,F309=0),AND(F309&gt;0,F309&lt;E312,F308=0),AND(F308&gt;0,F308&lt;E311,F309&gt;0,F309&lt;E312)),"YES","NO")</f>
        <v>NO</v>
      </c>
      <c r="J316" s="82"/>
      <c r="K316" s="16"/>
    </row>
    <row r="317" spans="1:11" ht="15.75" hidden="1" customHeight="1">
      <c r="A317" s="367"/>
      <c r="B317" s="256"/>
      <c r="C317" s="325"/>
      <c r="D317" s="89"/>
      <c r="E317" s="90" t="s">
        <v>192</v>
      </c>
      <c r="F317" s="91" t="str">
        <f>IF(AND(F308=0,F309=0,F310&gt;=E313),"YES","NO")</f>
        <v>NO</v>
      </c>
      <c r="J317" s="82"/>
      <c r="K317" s="16"/>
    </row>
    <row r="318" spans="1:11" ht="15.75" hidden="1" customHeight="1">
      <c r="A318" s="367"/>
      <c r="B318" s="256"/>
      <c r="C318" s="325"/>
      <c r="D318" s="89"/>
      <c r="E318" s="90" t="s">
        <v>193</v>
      </c>
      <c r="F318" s="91" t="str">
        <f>IF(AND(F308=0,F309=0,F310&lt;E313),"YES","NO")</f>
        <v>YES</v>
      </c>
      <c r="J318" s="82"/>
      <c r="K318" s="16"/>
    </row>
    <row r="319" spans="1:11" ht="15" customHeight="1" thickBot="1">
      <c r="A319" s="368"/>
      <c r="B319" s="257"/>
      <c r="C319" s="326"/>
      <c r="D319" s="403" t="s">
        <v>27</v>
      </c>
      <c r="E319" s="404"/>
      <c r="F319" s="63">
        <f>IF(F314="YES",4,IF(F315="YES",3+F308/E311,IF(F316="YES",2+2*F308/E311+F309/E312-(F308*F309)/(E311*E312),IF(F317="YES",2,2*F310/E313))))</f>
        <v>1.5</v>
      </c>
      <c r="J319" s="85"/>
      <c r="K319" s="16"/>
    </row>
    <row r="320" spans="1:11" ht="15.75" thickBot="1">
      <c r="D320" s="95"/>
      <c r="E320" s="96"/>
      <c r="K320" s="97"/>
    </row>
    <row r="321" spans="1:11" ht="48" customHeight="1">
      <c r="A321" s="366">
        <v>27</v>
      </c>
      <c r="B321" s="255"/>
      <c r="C321" s="334"/>
      <c r="D321" s="392" t="s">
        <v>198</v>
      </c>
      <c r="E321" s="392"/>
      <c r="F321" s="143"/>
      <c r="K321" s="58"/>
    </row>
    <row r="322" spans="1:11">
      <c r="A322" s="367"/>
      <c r="B322" s="256"/>
      <c r="C322" s="325"/>
      <c r="D322" s="393" t="s">
        <v>199</v>
      </c>
      <c r="E322" s="394"/>
      <c r="F322" s="79">
        <v>18</v>
      </c>
      <c r="G322" s="15" t="s">
        <v>51</v>
      </c>
      <c r="J322" s="80"/>
      <c r="K322" s="16"/>
    </row>
    <row r="323" spans="1:11">
      <c r="A323" s="367"/>
      <c r="B323" s="256"/>
      <c r="C323" s="325"/>
      <c r="D323" s="393" t="s">
        <v>200</v>
      </c>
      <c r="E323" s="394"/>
      <c r="F323" s="79">
        <v>0</v>
      </c>
      <c r="G323" s="15" t="s">
        <v>51</v>
      </c>
      <c r="J323" s="80"/>
      <c r="K323" s="16"/>
    </row>
    <row r="324" spans="1:11">
      <c r="A324" s="367"/>
      <c r="B324" s="256"/>
      <c r="C324" s="325"/>
      <c r="D324" s="393" t="s">
        <v>201</v>
      </c>
      <c r="E324" s="394"/>
      <c r="F324" s="79">
        <v>0</v>
      </c>
      <c r="G324" s="15" t="s">
        <v>51</v>
      </c>
      <c r="J324" s="80"/>
      <c r="K324" s="16"/>
    </row>
    <row r="325" spans="1:11">
      <c r="A325" s="367"/>
      <c r="B325" s="256"/>
      <c r="C325" s="325"/>
      <c r="D325" s="393" t="s">
        <v>202</v>
      </c>
      <c r="E325" s="394"/>
      <c r="F325" s="79">
        <v>0</v>
      </c>
      <c r="G325" s="15" t="s">
        <v>51</v>
      </c>
      <c r="J325" s="80"/>
      <c r="K325" s="16"/>
    </row>
    <row r="326" spans="1:11">
      <c r="A326" s="367"/>
      <c r="B326" s="256"/>
      <c r="C326" s="325"/>
      <c r="D326" s="393" t="s">
        <v>203</v>
      </c>
      <c r="E326" s="394"/>
      <c r="F326" s="79">
        <v>0</v>
      </c>
      <c r="G326" s="15" t="s">
        <v>51</v>
      </c>
      <c r="J326" s="80"/>
      <c r="K326" s="16"/>
    </row>
    <row r="327" spans="1:11">
      <c r="A327" s="367"/>
      <c r="B327" s="256"/>
      <c r="C327" s="325"/>
      <c r="D327" s="393" t="s">
        <v>204</v>
      </c>
      <c r="E327" s="394"/>
      <c r="F327" s="79">
        <v>0</v>
      </c>
      <c r="G327" s="15" t="s">
        <v>51</v>
      </c>
      <c r="J327" s="80"/>
      <c r="K327" s="16"/>
    </row>
    <row r="328" spans="1:11">
      <c r="A328" s="367"/>
      <c r="B328" s="256"/>
      <c r="C328" s="325"/>
      <c r="D328" s="393" t="s">
        <v>205</v>
      </c>
      <c r="E328" s="394"/>
      <c r="F328" s="79">
        <v>0</v>
      </c>
      <c r="G328" s="15" t="s">
        <v>51</v>
      </c>
      <c r="J328" s="80"/>
      <c r="K328" s="16"/>
    </row>
    <row r="329" spans="1:11" ht="14.45" customHeight="1">
      <c r="A329" s="367"/>
      <c r="B329" s="256"/>
      <c r="C329" s="325"/>
      <c r="D329" s="393" t="s">
        <v>206</v>
      </c>
      <c r="E329" s="394"/>
      <c r="F329" s="79">
        <v>0</v>
      </c>
      <c r="G329" s="15" t="s">
        <v>51</v>
      </c>
      <c r="J329" s="80"/>
      <c r="K329" s="16"/>
    </row>
    <row r="330" spans="1:11" ht="14.45" customHeight="1">
      <c r="A330" s="367"/>
      <c r="B330" s="256"/>
      <c r="C330" s="325"/>
      <c r="D330" s="393" t="s">
        <v>207</v>
      </c>
      <c r="E330" s="394"/>
      <c r="F330" s="79">
        <v>0</v>
      </c>
      <c r="G330" s="15" t="s">
        <v>51</v>
      </c>
      <c r="J330" s="80"/>
      <c r="K330" s="16"/>
    </row>
    <row r="331" spans="1:11" ht="14.45" customHeight="1">
      <c r="A331" s="367"/>
      <c r="B331" s="256"/>
      <c r="C331" s="325"/>
      <c r="D331" s="393" t="s">
        <v>208</v>
      </c>
      <c r="E331" s="394"/>
      <c r="F331" s="79">
        <v>0</v>
      </c>
      <c r="G331" s="15" t="s">
        <v>51</v>
      </c>
      <c r="J331" s="80"/>
      <c r="K331" s="16"/>
    </row>
    <row r="332" spans="1:11" ht="47.45" customHeight="1">
      <c r="A332" s="367"/>
      <c r="B332" s="256"/>
      <c r="C332" s="325"/>
      <c r="D332" s="393" t="s">
        <v>54</v>
      </c>
      <c r="E332" s="394"/>
      <c r="F332" s="79">
        <v>8</v>
      </c>
      <c r="G332" s="15" t="s">
        <v>51</v>
      </c>
      <c r="J332" s="80"/>
      <c r="K332" s="16"/>
    </row>
    <row r="333" spans="1:11">
      <c r="A333" s="367"/>
      <c r="B333" s="256"/>
      <c r="C333" s="325"/>
      <c r="D333" s="393" t="s">
        <v>209</v>
      </c>
      <c r="E333" s="394"/>
      <c r="F333" s="81">
        <f>IF(F332&gt;0,(F325+F328+F331)/F332,0)</f>
        <v>0</v>
      </c>
      <c r="J333" s="82"/>
      <c r="K333" s="16"/>
    </row>
    <row r="334" spans="1:11" ht="15.75" customHeight="1">
      <c r="A334" s="367"/>
      <c r="B334" s="256"/>
      <c r="C334" s="325"/>
      <c r="D334" s="393" t="s">
        <v>210</v>
      </c>
      <c r="E334" s="394"/>
      <c r="F334" s="81">
        <f>IF(F332&gt;0,(F323+F324+F327+F330)/F332,0)</f>
        <v>0</v>
      </c>
      <c r="J334" s="82"/>
      <c r="K334" s="16"/>
    </row>
    <row r="335" spans="1:11" ht="15.75" customHeight="1">
      <c r="A335" s="367"/>
      <c r="B335" s="256"/>
      <c r="C335" s="325"/>
      <c r="D335" s="393" t="s">
        <v>211</v>
      </c>
      <c r="E335" s="394"/>
      <c r="F335" s="81">
        <f>IF(F332&gt;0,(F326+F329+F322)/F332,0)</f>
        <v>2.25</v>
      </c>
      <c r="J335" s="82"/>
      <c r="K335" s="16"/>
    </row>
    <row r="336" spans="1:11" ht="15.75" hidden="1" customHeight="1">
      <c r="A336" s="367"/>
      <c r="B336" s="256"/>
      <c r="C336" s="325"/>
      <c r="D336" s="83" t="s">
        <v>56</v>
      </c>
      <c r="E336" s="144">
        <v>0.1</v>
      </c>
      <c r="F336" s="84"/>
      <c r="J336" s="82"/>
      <c r="K336" s="16"/>
    </row>
    <row r="337" spans="1:11" ht="15.75" hidden="1" customHeight="1">
      <c r="A337" s="367"/>
      <c r="B337" s="256"/>
      <c r="C337" s="325"/>
      <c r="D337" s="83" t="s">
        <v>57</v>
      </c>
      <c r="E337" s="144">
        <v>1</v>
      </c>
      <c r="F337" s="84"/>
      <c r="J337" s="82"/>
      <c r="K337" s="16"/>
    </row>
    <row r="338" spans="1:11" ht="15.75" hidden="1" customHeight="1">
      <c r="A338" s="367"/>
      <c r="B338" s="256"/>
      <c r="C338" s="325"/>
      <c r="D338" s="83" t="s">
        <v>58</v>
      </c>
      <c r="E338" s="144">
        <v>2</v>
      </c>
      <c r="F338" s="84"/>
      <c r="J338" s="82"/>
      <c r="K338" s="16"/>
    </row>
    <row r="339" spans="1:11" ht="15.75" hidden="1" customHeight="1">
      <c r="A339" s="367"/>
      <c r="B339" s="256"/>
      <c r="C339" s="325"/>
      <c r="D339" s="89"/>
      <c r="E339" s="90" t="s">
        <v>189</v>
      </c>
      <c r="F339" s="91" t="str">
        <f>IF(F333&gt;=E336,"YES","NO")</f>
        <v>NO</v>
      </c>
      <c r="J339" s="82"/>
      <c r="K339" s="16"/>
    </row>
    <row r="340" spans="1:11" ht="15.75" hidden="1" customHeight="1">
      <c r="A340" s="367"/>
      <c r="B340" s="256"/>
      <c r="C340" s="325"/>
      <c r="D340" s="89"/>
      <c r="E340" s="90" t="s">
        <v>190</v>
      </c>
      <c r="F340" s="91" t="str">
        <f>IF(AND(F333&lt;E336,F334&gt;=E337),"YES","NO")</f>
        <v>NO</v>
      </c>
      <c r="J340" s="82"/>
      <c r="K340" s="16"/>
    </row>
    <row r="341" spans="1:11" ht="15.75" hidden="1" customHeight="1">
      <c r="A341" s="367"/>
      <c r="B341" s="256"/>
      <c r="C341" s="325"/>
      <c r="D341" s="89"/>
      <c r="E341" s="90" t="s">
        <v>191</v>
      </c>
      <c r="F341" s="91" t="str">
        <f>IF(OR(AND(F333&gt;0,F333&lt;E336,F334=0),AND(F334&gt;0,F334&lt;E337,F333=0),AND(F333&gt;0,F333&lt;E336,F334&gt;0,F334&lt;E337)),"YES","NO")</f>
        <v>NO</v>
      </c>
      <c r="J341" s="82"/>
      <c r="K341" s="16"/>
    </row>
    <row r="342" spans="1:11" ht="15.75" hidden="1" customHeight="1">
      <c r="A342" s="367"/>
      <c r="B342" s="256"/>
      <c r="C342" s="325"/>
      <c r="D342" s="89"/>
      <c r="E342" s="90" t="s">
        <v>192</v>
      </c>
      <c r="F342" s="91" t="str">
        <f>IF(AND(F333=0,F334=0,F335&gt;=E338),"YES","NO")</f>
        <v>YES</v>
      </c>
      <c r="J342" s="82"/>
      <c r="K342" s="16"/>
    </row>
    <row r="343" spans="1:11" ht="15.75" hidden="1" customHeight="1">
      <c r="A343" s="367"/>
      <c r="B343" s="256"/>
      <c r="C343" s="325"/>
      <c r="D343" s="89"/>
      <c r="E343" s="90" t="s">
        <v>193</v>
      </c>
      <c r="F343" s="91" t="str">
        <f>IF(AND(F333=0,F334=0,F335&lt;E338),"YES","NO")</f>
        <v>NO</v>
      </c>
      <c r="J343" s="82"/>
      <c r="K343" s="16"/>
    </row>
    <row r="344" spans="1:11" ht="15" customHeight="1" thickBot="1">
      <c r="A344" s="368"/>
      <c r="B344" s="257"/>
      <c r="C344" s="326"/>
      <c r="D344" s="403" t="s">
        <v>27</v>
      </c>
      <c r="E344" s="404"/>
      <c r="F344" s="63">
        <f>IF(F339="YES",4,IF(F340="YES",3+F333/E336,IF(F341="YES",2+2*F333/E336+F334/E337-(F333*F334)/(E336*E337),IF(F342="YES",2,2*F335/E338))))</f>
        <v>2</v>
      </c>
      <c r="J344" s="85"/>
      <c r="K344" s="16"/>
    </row>
    <row r="345" spans="1:11" ht="15.75" thickBot="1">
      <c r="D345" s="95"/>
      <c r="E345" s="96"/>
      <c r="K345" s="97"/>
    </row>
    <row r="346" spans="1:11" ht="36" customHeight="1">
      <c r="A346" s="357">
        <v>28</v>
      </c>
      <c r="B346" s="261"/>
      <c r="C346" s="317"/>
      <c r="D346" s="388" t="s">
        <v>212</v>
      </c>
      <c r="E346" s="388"/>
      <c r="F346" s="145"/>
      <c r="K346" s="58"/>
    </row>
    <row r="347" spans="1:11" ht="14.45" customHeight="1">
      <c r="A347" s="358"/>
      <c r="B347" s="262"/>
      <c r="C347" s="318"/>
      <c r="D347" s="375" t="s">
        <v>213</v>
      </c>
      <c r="E347" s="376"/>
      <c r="F347" s="79">
        <v>4</v>
      </c>
      <c r="G347" s="15" t="s">
        <v>51</v>
      </c>
      <c r="J347" s="80"/>
      <c r="K347" s="16"/>
    </row>
    <row r="348" spans="1:11" ht="48" customHeight="1">
      <c r="A348" s="358"/>
      <c r="B348" s="262"/>
      <c r="C348" s="318"/>
      <c r="D348" s="375" t="s">
        <v>214</v>
      </c>
      <c r="E348" s="376"/>
      <c r="F348" s="79">
        <v>8</v>
      </c>
      <c r="G348" s="15" t="s">
        <v>51</v>
      </c>
      <c r="J348" s="80"/>
      <c r="K348" s="16"/>
    </row>
    <row r="349" spans="1:11" ht="14.45" customHeight="1">
      <c r="A349" s="358"/>
      <c r="B349" s="262"/>
      <c r="C349" s="318"/>
      <c r="D349" s="375" t="s">
        <v>215</v>
      </c>
      <c r="E349" s="376"/>
      <c r="F349" s="146">
        <f>IF(F348&gt;0,F347/F348,0)</f>
        <v>0.5</v>
      </c>
      <c r="J349" s="80"/>
      <c r="K349" s="16"/>
    </row>
    <row r="350" spans="1:11" ht="14.45" hidden="1" customHeight="1">
      <c r="A350" s="358"/>
      <c r="B350" s="262"/>
      <c r="C350" s="318"/>
      <c r="D350" s="89" t="s">
        <v>109</v>
      </c>
      <c r="E350" s="90">
        <v>0.5</v>
      </c>
      <c r="F350" s="147"/>
      <c r="J350" s="80"/>
      <c r="K350" s="16"/>
    </row>
    <row r="351" spans="1:11" ht="15.75" thickBot="1">
      <c r="A351" s="359"/>
      <c r="B351" s="263"/>
      <c r="C351" s="319"/>
      <c r="D351" s="377" t="s">
        <v>27</v>
      </c>
      <c r="E351" s="378"/>
      <c r="F351" s="148">
        <f>IF(F349&gt;=E350,4,2+2/E350*F349)</f>
        <v>4</v>
      </c>
      <c r="J351" s="85"/>
      <c r="K351" s="16"/>
    </row>
    <row r="352" spans="1:11" ht="15.75" thickBot="1">
      <c r="D352" s="95"/>
      <c r="E352" s="96"/>
      <c r="K352" s="97"/>
    </row>
    <row r="353" spans="1:11" ht="48.6" hidden="1" customHeight="1">
      <c r="A353" s="360"/>
      <c r="B353" s="258"/>
      <c r="C353" s="328"/>
      <c r="D353" s="383"/>
      <c r="E353" s="383"/>
      <c r="F353" s="149"/>
      <c r="K353" s="58"/>
    </row>
    <row r="354" spans="1:11" ht="34.35" hidden="1" customHeight="1">
      <c r="A354" s="361"/>
      <c r="B354" s="259"/>
      <c r="C354" s="329"/>
      <c r="D354" s="384"/>
      <c r="E354" s="385"/>
      <c r="F354" s="150"/>
      <c r="J354" s="80"/>
      <c r="K354" s="16"/>
    </row>
    <row r="355" spans="1:11" ht="48" hidden="1" customHeight="1">
      <c r="A355" s="361"/>
      <c r="B355" s="259"/>
      <c r="C355" s="329"/>
      <c r="D355" s="384"/>
      <c r="E355" s="385"/>
      <c r="F355" s="150"/>
      <c r="J355" s="80"/>
      <c r="K355" s="16"/>
    </row>
    <row r="356" spans="1:11" ht="14.45" hidden="1" customHeight="1">
      <c r="A356" s="361"/>
      <c r="B356" s="259"/>
      <c r="C356" s="329"/>
      <c r="D356" s="384"/>
      <c r="E356" s="385"/>
      <c r="F356" s="151"/>
      <c r="J356" s="80"/>
      <c r="K356" s="16"/>
    </row>
    <row r="357" spans="1:11" ht="15.75" hidden="1" customHeight="1">
      <c r="A357" s="361"/>
      <c r="B357" s="259"/>
      <c r="C357" s="329"/>
      <c r="D357" s="83"/>
      <c r="E357" s="144"/>
      <c r="F357" s="84"/>
      <c r="J357" s="82"/>
      <c r="K357" s="16"/>
    </row>
    <row r="358" spans="1:11" ht="15" hidden="1" customHeight="1">
      <c r="A358" s="362"/>
      <c r="B358" s="260"/>
      <c r="C358" s="330"/>
      <c r="D358" s="386"/>
      <c r="E358" s="387"/>
      <c r="F358" s="133"/>
      <c r="J358" s="85"/>
      <c r="K358" s="16"/>
    </row>
    <row r="359" spans="1:11" ht="15" hidden="1" customHeight="1">
      <c r="D359" s="95"/>
      <c r="E359" s="96"/>
      <c r="K359" s="97"/>
    </row>
    <row r="360" spans="1:11" ht="51.75" customHeight="1">
      <c r="A360" s="366">
        <v>29</v>
      </c>
      <c r="B360" s="255"/>
      <c r="C360" s="334"/>
      <c r="D360" s="392" t="s">
        <v>216</v>
      </c>
      <c r="E360" s="392"/>
      <c r="F360" s="78"/>
      <c r="K360" s="58"/>
    </row>
    <row r="361" spans="1:11" ht="42.95" customHeight="1">
      <c r="A361" s="367"/>
      <c r="B361" s="256"/>
      <c r="C361" s="325"/>
      <c r="D361" s="393" t="s">
        <v>217</v>
      </c>
      <c r="E361" s="394"/>
      <c r="F361" s="79">
        <v>0</v>
      </c>
      <c r="G361" s="15" t="s">
        <v>51</v>
      </c>
      <c r="J361" s="80"/>
      <c r="K361" s="16"/>
    </row>
    <row r="362" spans="1:11" ht="48.95" customHeight="1">
      <c r="A362" s="367"/>
      <c r="B362" s="256"/>
      <c r="C362" s="325"/>
      <c r="D362" s="393" t="s">
        <v>218</v>
      </c>
      <c r="E362" s="394"/>
      <c r="F362" s="79">
        <v>0</v>
      </c>
      <c r="G362" s="15" t="s">
        <v>51</v>
      </c>
      <c r="J362" s="80"/>
      <c r="K362" s="16"/>
    </row>
    <row r="363" spans="1:11" ht="54" customHeight="1">
      <c r="A363" s="367"/>
      <c r="B363" s="256"/>
      <c r="C363" s="325"/>
      <c r="D363" s="393" t="s">
        <v>219</v>
      </c>
      <c r="E363" s="394"/>
      <c r="F363" s="79">
        <v>0</v>
      </c>
      <c r="G363" s="15" t="s">
        <v>51</v>
      </c>
      <c r="J363" s="80"/>
      <c r="K363" s="16"/>
    </row>
    <row r="364" spans="1:11" ht="39.950000000000003" customHeight="1">
      <c r="A364" s="367"/>
      <c r="B364" s="256"/>
      <c r="C364" s="325"/>
      <c r="D364" s="393" t="s">
        <v>220</v>
      </c>
      <c r="E364" s="394"/>
      <c r="F364" s="79">
        <v>0</v>
      </c>
      <c r="G364" s="15" t="s">
        <v>51</v>
      </c>
      <c r="J364" s="80"/>
      <c r="K364" s="16"/>
    </row>
    <row r="365" spans="1:11" ht="50.1" customHeight="1">
      <c r="A365" s="367"/>
      <c r="B365" s="256"/>
      <c r="C365" s="325"/>
      <c r="D365" s="375" t="s">
        <v>214</v>
      </c>
      <c r="E365" s="376"/>
      <c r="F365" s="79">
        <v>8</v>
      </c>
      <c r="G365" s="15" t="s">
        <v>51</v>
      </c>
      <c r="J365" s="80"/>
      <c r="K365" s="16"/>
    </row>
    <row r="366" spans="1:11">
      <c r="A366" s="367"/>
      <c r="B366" s="256"/>
      <c r="C366" s="325"/>
      <c r="D366" s="393" t="s">
        <v>221</v>
      </c>
      <c r="E366" s="394"/>
      <c r="F366" s="81">
        <f>IF(F365&gt;0,(2*(F361+F362+F363)+F364)/F365,0)</f>
        <v>0</v>
      </c>
      <c r="J366" s="80"/>
      <c r="K366" s="16"/>
    </row>
    <row r="367" spans="1:11" ht="15.75" hidden="1" customHeight="1">
      <c r="A367" s="367"/>
      <c r="B367" s="256"/>
      <c r="C367" s="325"/>
      <c r="D367" s="83" t="s">
        <v>57</v>
      </c>
      <c r="E367" s="144">
        <v>1</v>
      </c>
      <c r="F367" s="84"/>
      <c r="J367" s="82"/>
      <c r="K367" s="16"/>
    </row>
    <row r="368" spans="1:11" ht="15.75" thickBot="1">
      <c r="A368" s="368"/>
      <c r="B368" s="257"/>
      <c r="C368" s="326"/>
      <c r="D368" s="403" t="s">
        <v>27</v>
      </c>
      <c r="E368" s="404"/>
      <c r="F368" s="63">
        <f>IF(F366&gt;=E367,4,2+2/E367*F366)</f>
        <v>2</v>
      </c>
      <c r="J368" s="85"/>
      <c r="K368" s="16"/>
    </row>
    <row r="369" spans="1:11" ht="15.75" thickBot="1">
      <c r="D369" s="95"/>
      <c r="E369" s="96"/>
      <c r="K369" s="97"/>
    </row>
    <row r="370" spans="1:11" ht="50.25" customHeight="1">
      <c r="A370" s="366">
        <v>30</v>
      </c>
      <c r="B370" s="255"/>
      <c r="C370" s="334" t="s">
        <v>222</v>
      </c>
      <c r="D370" s="369" t="s">
        <v>223</v>
      </c>
      <c r="E370" s="370"/>
      <c r="F370" s="57" t="s">
        <v>5</v>
      </c>
      <c r="G370" s="15" t="str">
        <f>IF(OR(ISBLANK(F370),F370&gt;4),"Salah isi","judge")</f>
        <v>Salah isi</v>
      </c>
      <c r="K370" s="58"/>
    </row>
    <row r="371" spans="1:11">
      <c r="A371" s="367"/>
      <c r="B371" s="256"/>
      <c r="C371" s="325"/>
      <c r="D371" s="393" t="s">
        <v>224</v>
      </c>
      <c r="E371" s="394"/>
      <c r="F371" s="152">
        <f>AVERAGE(F199,F206,F213,F222,F243,F251,F261,F269,F276)</f>
        <v>3.3214285714285716</v>
      </c>
      <c r="K371" s="16"/>
    </row>
    <row r="372" spans="1:11" ht="45">
      <c r="A372" s="367"/>
      <c r="B372" s="256"/>
      <c r="C372" s="325"/>
      <c r="D372" s="59">
        <v>4</v>
      </c>
      <c r="E372" s="60" t="s">
        <v>225</v>
      </c>
      <c r="F372" s="61"/>
      <c r="K372" s="16"/>
    </row>
    <row r="373" spans="1:11" ht="30">
      <c r="A373" s="367"/>
      <c r="B373" s="256"/>
      <c r="C373" s="325"/>
      <c r="D373" s="59">
        <v>3</v>
      </c>
      <c r="E373" s="60" t="s">
        <v>226</v>
      </c>
      <c r="F373" s="61"/>
      <c r="K373" s="16"/>
    </row>
    <row r="374" spans="1:11" ht="30">
      <c r="A374" s="367"/>
      <c r="B374" s="256"/>
      <c r="C374" s="325"/>
      <c r="D374" s="59">
        <v>2</v>
      </c>
      <c r="E374" s="60" t="s">
        <v>227</v>
      </c>
      <c r="F374" s="61"/>
      <c r="K374" s="16"/>
    </row>
    <row r="375" spans="1:11" ht="45">
      <c r="A375" s="367"/>
      <c r="B375" s="256"/>
      <c r="C375" s="325"/>
      <c r="D375" s="59">
        <v>1</v>
      </c>
      <c r="E375" s="60" t="s">
        <v>228</v>
      </c>
      <c r="F375" s="61"/>
      <c r="K375" s="16"/>
    </row>
    <row r="376" spans="1:11" ht="30">
      <c r="A376" s="367"/>
      <c r="B376" s="256"/>
      <c r="C376" s="325"/>
      <c r="D376" s="59">
        <v>0</v>
      </c>
      <c r="E376" s="60" t="s">
        <v>229</v>
      </c>
      <c r="F376" s="62"/>
      <c r="K376" s="16"/>
    </row>
    <row r="377" spans="1:11" ht="15" customHeight="1">
      <c r="A377" s="368"/>
      <c r="B377" s="257"/>
      <c r="C377" s="326"/>
      <c r="D377" s="371" t="s">
        <v>27</v>
      </c>
      <c r="E377" s="372"/>
      <c r="F377" s="63">
        <f>IF(G370="Salah isi",0,IF(F371&gt;=3.5,4,F370))</f>
        <v>0</v>
      </c>
      <c r="K377" s="16"/>
    </row>
    <row r="378" spans="1:11" ht="15" customHeight="1">
      <c r="A378" s="64"/>
      <c r="B378" s="64"/>
      <c r="C378" s="64"/>
      <c r="D378" s="65"/>
      <c r="E378" s="66"/>
      <c r="F378" s="67"/>
      <c r="K378" s="16"/>
    </row>
    <row r="379" spans="1:11" ht="115.5" customHeight="1">
      <c r="A379" s="366">
        <v>31</v>
      </c>
      <c r="B379" s="255"/>
      <c r="C379" s="334" t="s">
        <v>230</v>
      </c>
      <c r="D379" s="369" t="s">
        <v>231</v>
      </c>
      <c r="E379" s="409"/>
      <c r="F379" s="57"/>
      <c r="G379" s="15" t="str">
        <f>IF(OR(ISBLANK(F379),F379&gt;4),"Salah isi","judge")</f>
        <v>Salah isi</v>
      </c>
      <c r="K379" s="58"/>
    </row>
    <row r="380" spans="1:11" ht="60">
      <c r="A380" s="367"/>
      <c r="B380" s="256"/>
      <c r="C380" s="325"/>
      <c r="D380" s="68">
        <v>4</v>
      </c>
      <c r="E380" s="69" t="s">
        <v>232</v>
      </c>
      <c r="F380" s="70"/>
      <c r="K380" s="16"/>
    </row>
    <row r="381" spans="1:11" ht="60">
      <c r="A381" s="367"/>
      <c r="B381" s="256"/>
      <c r="C381" s="325"/>
      <c r="D381" s="68">
        <v>3</v>
      </c>
      <c r="E381" s="69" t="s">
        <v>233</v>
      </c>
      <c r="F381" s="70"/>
      <c r="K381" s="16"/>
    </row>
    <row r="382" spans="1:11" ht="45">
      <c r="A382" s="367"/>
      <c r="B382" s="256"/>
      <c r="C382" s="325"/>
      <c r="D382" s="68">
        <v>2</v>
      </c>
      <c r="E382" s="69" t="s">
        <v>234</v>
      </c>
      <c r="F382" s="70"/>
      <c r="K382" s="16"/>
    </row>
    <row r="383" spans="1:11" ht="45">
      <c r="A383" s="367"/>
      <c r="B383" s="256"/>
      <c r="C383" s="325"/>
      <c r="D383" s="68">
        <v>1</v>
      </c>
      <c r="E383" s="124" t="s">
        <v>235</v>
      </c>
      <c r="F383" s="70"/>
      <c r="K383" s="16"/>
    </row>
    <row r="384" spans="1:11" ht="45">
      <c r="A384" s="367"/>
      <c r="B384" s="256"/>
      <c r="C384" s="325"/>
      <c r="D384" s="114">
        <v>0</v>
      </c>
      <c r="E384" s="115" t="s">
        <v>236</v>
      </c>
      <c r="F384" s="119"/>
      <c r="K384" s="16"/>
    </row>
    <row r="385" spans="1:11" ht="42" customHeight="1">
      <c r="A385" s="367"/>
      <c r="B385" s="256"/>
      <c r="C385" s="325"/>
      <c r="D385" s="393" t="s">
        <v>237</v>
      </c>
      <c r="E385" s="394"/>
      <c r="F385" s="125" t="s">
        <v>5</v>
      </c>
      <c r="G385" s="15" t="str">
        <f>IF(OR(ISBLANK(F385),F385&gt;4),"Salah isi","judge")</f>
        <v>Salah isi</v>
      </c>
      <c r="K385" s="16"/>
    </row>
    <row r="386" spans="1:11" ht="90">
      <c r="A386" s="367"/>
      <c r="B386" s="256"/>
      <c r="C386" s="325"/>
      <c r="D386" s="68">
        <v>4</v>
      </c>
      <c r="E386" s="69" t="s">
        <v>238</v>
      </c>
      <c r="F386" s="70"/>
      <c r="K386" s="16"/>
    </row>
    <row r="387" spans="1:11" ht="90">
      <c r="A387" s="367"/>
      <c r="B387" s="256"/>
      <c r="C387" s="325"/>
      <c r="D387" s="68">
        <v>3</v>
      </c>
      <c r="E387" s="69" t="s">
        <v>239</v>
      </c>
      <c r="F387" s="70"/>
      <c r="K387" s="16"/>
    </row>
    <row r="388" spans="1:11" ht="45">
      <c r="A388" s="367"/>
      <c r="B388" s="256"/>
      <c r="C388" s="325"/>
      <c r="D388" s="68">
        <v>2</v>
      </c>
      <c r="E388" s="69" t="s">
        <v>240</v>
      </c>
      <c r="F388" s="70"/>
      <c r="K388" s="16"/>
    </row>
    <row r="389" spans="1:11" ht="30">
      <c r="A389" s="367"/>
      <c r="B389" s="256"/>
      <c r="C389" s="325"/>
      <c r="D389" s="68">
        <v>1</v>
      </c>
      <c r="E389" s="124" t="s">
        <v>241</v>
      </c>
      <c r="F389" s="70"/>
      <c r="K389" s="16"/>
    </row>
    <row r="390" spans="1:11">
      <c r="A390" s="367"/>
      <c r="B390" s="256"/>
      <c r="C390" s="325"/>
      <c r="D390" s="68">
        <v>0</v>
      </c>
      <c r="E390" s="69" t="s">
        <v>242</v>
      </c>
      <c r="F390" s="71"/>
      <c r="K390" s="16"/>
    </row>
    <row r="391" spans="1:11" ht="15" customHeight="1">
      <c r="A391" s="368"/>
      <c r="B391" s="257"/>
      <c r="C391" s="326"/>
      <c r="D391" s="371" t="s">
        <v>243</v>
      </c>
      <c r="E391" s="372"/>
      <c r="F391" s="63">
        <f>IF(OR(G379="Salah isi",G385="Salah isi"),0,(F379+F385)/2)</f>
        <v>0</v>
      </c>
      <c r="K391" s="16"/>
    </row>
    <row r="392" spans="1:11" ht="15" customHeight="1">
      <c r="A392" s="64"/>
      <c r="B392" s="64"/>
      <c r="C392" s="64"/>
      <c r="D392" s="65"/>
      <c r="E392" s="66"/>
      <c r="F392" s="67"/>
      <c r="K392" s="16"/>
    </row>
    <row r="393" spans="1:11" ht="45" customHeight="1">
      <c r="A393" s="366">
        <v>32</v>
      </c>
      <c r="B393" s="255"/>
      <c r="C393" s="334" t="s">
        <v>244</v>
      </c>
      <c r="D393" s="392" t="s">
        <v>245</v>
      </c>
      <c r="E393" s="392"/>
      <c r="F393" s="143"/>
      <c r="K393" s="58"/>
    </row>
    <row r="394" spans="1:11" ht="21.6" customHeight="1">
      <c r="A394" s="367"/>
      <c r="B394" s="256"/>
      <c r="C394" s="325"/>
      <c r="D394" s="393" t="s">
        <v>246</v>
      </c>
      <c r="E394" s="394"/>
      <c r="F394" s="153">
        <v>412691000</v>
      </c>
      <c r="G394" s="15" t="s">
        <v>51</v>
      </c>
      <c r="J394" s="80"/>
      <c r="K394" s="16"/>
    </row>
    <row r="395" spans="1:11" ht="23.45" customHeight="1">
      <c r="A395" s="367"/>
      <c r="B395" s="256"/>
      <c r="C395" s="325"/>
      <c r="D395" s="393" t="s">
        <v>247</v>
      </c>
      <c r="E395" s="394"/>
      <c r="F395" s="79">
        <v>136</v>
      </c>
      <c r="G395" s="15" t="s">
        <v>51</v>
      </c>
      <c r="J395" s="80"/>
      <c r="K395" s="16"/>
    </row>
    <row r="396" spans="1:11" ht="42" customHeight="1">
      <c r="A396" s="367"/>
      <c r="B396" s="256"/>
      <c r="C396" s="325"/>
      <c r="D396" s="393" t="s">
        <v>248</v>
      </c>
      <c r="E396" s="394"/>
      <c r="F396" s="154">
        <f>IF(F395&gt;0,F394/3/F395,0)*3/Menu!N15</f>
        <v>1011497.5490196077</v>
      </c>
      <c r="J396" s="118"/>
      <c r="K396" s="16"/>
    </row>
    <row r="397" spans="1:11" ht="14.45" hidden="1" customHeight="1">
      <c r="A397" s="367"/>
      <c r="B397" s="256"/>
      <c r="C397" s="325"/>
      <c r="D397" s="89" t="s">
        <v>109</v>
      </c>
      <c r="E397" s="90">
        <v>20000000</v>
      </c>
      <c r="F397" s="155"/>
      <c r="J397" s="118"/>
      <c r="K397" s="16"/>
    </row>
    <row r="398" spans="1:11" ht="15.75" thickBot="1">
      <c r="A398" s="368"/>
      <c r="B398" s="257"/>
      <c r="C398" s="326"/>
      <c r="D398" s="403" t="s">
        <v>27</v>
      </c>
      <c r="E398" s="404"/>
      <c r="F398" s="63">
        <f>IF(F396&gt;=E397,4,4/E397*F396)</f>
        <v>0.20229950980392153</v>
      </c>
      <c r="K398" s="16"/>
    </row>
    <row r="399" spans="1:11" ht="15.75" thickBot="1">
      <c r="D399" s="95"/>
      <c r="E399" s="96"/>
      <c r="K399" s="95"/>
    </row>
    <row r="400" spans="1:11" ht="31.35" customHeight="1">
      <c r="A400" s="366">
        <v>33</v>
      </c>
      <c r="B400" s="255"/>
      <c r="C400" s="354"/>
      <c r="D400" s="392" t="s">
        <v>249</v>
      </c>
      <c r="E400" s="392"/>
      <c r="F400" s="143"/>
      <c r="K400" s="58"/>
    </row>
    <row r="401" spans="1:11" ht="31.5" customHeight="1">
      <c r="A401" s="367"/>
      <c r="B401" s="256"/>
      <c r="C401" s="355"/>
      <c r="D401" s="393" t="s">
        <v>250</v>
      </c>
      <c r="E401" s="394"/>
      <c r="F401" s="153">
        <v>36636666.666666999</v>
      </c>
      <c r="G401" s="15" t="s">
        <v>51</v>
      </c>
      <c r="J401" s="80"/>
      <c r="K401" s="16"/>
    </row>
    <row r="402" spans="1:11" ht="48" customHeight="1">
      <c r="A402" s="367"/>
      <c r="B402" s="256"/>
      <c r="C402" s="355"/>
      <c r="D402" s="375" t="s">
        <v>214</v>
      </c>
      <c r="E402" s="376"/>
      <c r="F402" s="79">
        <v>8</v>
      </c>
      <c r="G402" s="15" t="s">
        <v>51</v>
      </c>
      <c r="J402" s="80"/>
      <c r="K402" s="16"/>
    </row>
    <row r="403" spans="1:11" ht="36" customHeight="1">
      <c r="A403" s="367"/>
      <c r="B403" s="256"/>
      <c r="C403" s="355"/>
      <c r="D403" s="393" t="s">
        <v>251</v>
      </c>
      <c r="E403" s="394"/>
      <c r="F403" s="154">
        <f>IF(F402&gt;0,F401/3/F402,0)*3/Menu!N15</f>
        <v>1526527.7777777917</v>
      </c>
      <c r="J403" s="118"/>
      <c r="K403" s="16"/>
    </row>
    <row r="404" spans="1:11" ht="14.45" hidden="1" customHeight="1">
      <c r="A404" s="367"/>
      <c r="B404" s="256"/>
      <c r="C404" s="355"/>
      <c r="D404" s="89" t="s">
        <v>109</v>
      </c>
      <c r="E404" s="90">
        <v>10000000</v>
      </c>
      <c r="F404" s="155"/>
      <c r="J404" s="118"/>
      <c r="K404" s="16"/>
    </row>
    <row r="405" spans="1:11" ht="15.75" thickBot="1">
      <c r="A405" s="368"/>
      <c r="B405" s="257"/>
      <c r="C405" s="356"/>
      <c r="D405" s="403" t="s">
        <v>27</v>
      </c>
      <c r="E405" s="404"/>
      <c r="F405" s="63">
        <f>IF(F403&gt;=E404,4,4/E404*F403)</f>
        <v>0.61061111111111666</v>
      </c>
      <c r="K405" s="16"/>
    </row>
    <row r="406" spans="1:11" ht="15.75" thickBot="1">
      <c r="D406" s="95"/>
      <c r="E406" s="96"/>
      <c r="K406" s="95"/>
    </row>
    <row r="407" spans="1:11" ht="42.75" customHeight="1">
      <c r="A407" s="366">
        <v>34</v>
      </c>
      <c r="B407" s="255"/>
      <c r="C407" s="354"/>
      <c r="D407" s="392" t="s">
        <v>252</v>
      </c>
      <c r="E407" s="392"/>
      <c r="F407" s="143"/>
      <c r="K407" s="58"/>
    </row>
    <row r="408" spans="1:11" ht="31.5" customHeight="1">
      <c r="A408" s="367"/>
      <c r="B408" s="256"/>
      <c r="C408" s="355"/>
      <c r="D408" s="393" t="s">
        <v>253</v>
      </c>
      <c r="E408" s="394"/>
      <c r="F408" s="153">
        <v>13646666.666666999</v>
      </c>
      <c r="G408" s="15" t="s">
        <v>51</v>
      </c>
      <c r="J408" s="80"/>
      <c r="K408" s="16"/>
    </row>
    <row r="409" spans="1:11" ht="50.1" customHeight="1">
      <c r="A409" s="367"/>
      <c r="B409" s="256"/>
      <c r="C409" s="355"/>
      <c r="D409" s="375" t="s">
        <v>214</v>
      </c>
      <c r="E409" s="376"/>
      <c r="F409" s="79">
        <v>8</v>
      </c>
      <c r="G409" s="15" t="s">
        <v>51</v>
      </c>
      <c r="J409" s="80"/>
      <c r="K409" s="16"/>
    </row>
    <row r="410" spans="1:11" ht="33" customHeight="1">
      <c r="A410" s="367"/>
      <c r="B410" s="256"/>
      <c r="C410" s="355"/>
      <c r="D410" s="393" t="s">
        <v>254</v>
      </c>
      <c r="E410" s="394"/>
      <c r="F410" s="154">
        <f>IF(F409&gt;0,F408/3/F409,0)*3/Menu!N15</f>
        <v>568611.11111112498</v>
      </c>
      <c r="J410" s="118"/>
      <c r="K410" s="16"/>
    </row>
    <row r="411" spans="1:11" ht="14.45" hidden="1" customHeight="1">
      <c r="A411" s="367"/>
      <c r="B411" s="256"/>
      <c r="C411" s="355"/>
      <c r="D411" s="89" t="s">
        <v>109</v>
      </c>
      <c r="E411" s="90">
        <v>5000000</v>
      </c>
      <c r="F411" s="155"/>
      <c r="J411" s="118"/>
      <c r="K411" s="16"/>
    </row>
    <row r="412" spans="1:11" ht="15.75" thickBot="1">
      <c r="A412" s="368"/>
      <c r="B412" s="257"/>
      <c r="C412" s="356"/>
      <c r="D412" s="403" t="s">
        <v>27</v>
      </c>
      <c r="E412" s="404"/>
      <c r="F412" s="63">
        <f>IF(F410&gt;=E411,4,4/E411*F410)</f>
        <v>0.45488888888889994</v>
      </c>
      <c r="K412" s="16"/>
    </row>
    <row r="413" spans="1:11" ht="15.75" thickBot="1">
      <c r="D413" s="95"/>
      <c r="E413" s="96"/>
      <c r="K413" s="95"/>
    </row>
    <row r="414" spans="1:11" ht="68.099999999999994" customHeight="1">
      <c r="A414" s="366">
        <v>35</v>
      </c>
      <c r="B414" s="255"/>
      <c r="C414" s="334"/>
      <c r="D414" s="369" t="s">
        <v>255</v>
      </c>
      <c r="E414" s="370"/>
      <c r="F414" s="57" t="s">
        <v>5</v>
      </c>
      <c r="G414" s="15" t="str">
        <f>IF(OR(ISBLANK(F414),F414&gt;4),"Salah isi","judge")</f>
        <v>Salah isi</v>
      </c>
      <c r="K414" s="58"/>
    </row>
    <row r="415" spans="1:11">
      <c r="A415" s="367"/>
      <c r="B415" s="256"/>
      <c r="C415" s="325"/>
      <c r="D415" s="393" t="s">
        <v>256</v>
      </c>
      <c r="E415" s="394"/>
      <c r="F415" s="152" t="s">
        <v>5</v>
      </c>
      <c r="K415" s="16"/>
    </row>
    <row r="416" spans="1:11" ht="75">
      <c r="A416" s="367"/>
      <c r="B416" s="256"/>
      <c r="C416" s="325"/>
      <c r="D416" s="59">
        <v>4</v>
      </c>
      <c r="E416" s="60" t="s">
        <v>257</v>
      </c>
      <c r="F416" s="61"/>
      <c r="K416" s="16"/>
    </row>
    <row r="417" spans="1:11" ht="45">
      <c r="A417" s="367"/>
      <c r="B417" s="256"/>
      <c r="C417" s="325"/>
      <c r="D417" s="59">
        <v>3</v>
      </c>
      <c r="E417" s="60" t="s">
        <v>258</v>
      </c>
      <c r="F417" s="61"/>
      <c r="K417" s="16"/>
    </row>
    <row r="418" spans="1:11" ht="60">
      <c r="A418" s="367"/>
      <c r="B418" s="256"/>
      <c r="C418" s="325"/>
      <c r="D418" s="59">
        <v>2</v>
      </c>
      <c r="E418" s="60" t="s">
        <v>259</v>
      </c>
      <c r="F418" s="61"/>
      <c r="K418" s="16"/>
    </row>
    <row r="419" spans="1:11" ht="30">
      <c r="A419" s="367"/>
      <c r="B419" s="256"/>
      <c r="C419" s="325"/>
      <c r="D419" s="59">
        <v>1</v>
      </c>
      <c r="E419" s="60" t="s">
        <v>260</v>
      </c>
      <c r="F419" s="61"/>
      <c r="K419" s="16"/>
    </row>
    <row r="420" spans="1:11" ht="30">
      <c r="A420" s="367"/>
      <c r="B420" s="256"/>
      <c r="C420" s="325"/>
      <c r="D420" s="59">
        <v>0</v>
      </c>
      <c r="E420" s="60" t="s">
        <v>261</v>
      </c>
      <c r="F420" s="62"/>
      <c r="K420" s="16"/>
    </row>
    <row r="421" spans="1:11" ht="15" customHeight="1">
      <c r="A421" s="368"/>
      <c r="B421" s="257"/>
      <c r="C421" s="326"/>
      <c r="D421" s="371" t="s">
        <v>27</v>
      </c>
      <c r="E421" s="372"/>
      <c r="F421" s="63">
        <f>IF(G414="Salah isi",0,IF(F415&gt;=3.5,4,F414))</f>
        <v>0</v>
      </c>
      <c r="K421" s="16"/>
    </row>
    <row r="422" spans="1:11" ht="15" customHeight="1">
      <c r="A422" s="64"/>
      <c r="B422" s="64"/>
      <c r="C422" s="64"/>
      <c r="D422" s="65"/>
      <c r="E422" s="66"/>
      <c r="F422" s="67"/>
      <c r="K422" s="16"/>
    </row>
    <row r="423" spans="1:11" ht="32.1" customHeight="1">
      <c r="A423" s="366">
        <v>36</v>
      </c>
      <c r="B423" s="255"/>
      <c r="C423" s="334"/>
      <c r="D423" s="369" t="s">
        <v>262</v>
      </c>
      <c r="E423" s="370"/>
      <c r="F423" s="57" t="s">
        <v>5</v>
      </c>
      <c r="G423" s="15" t="str">
        <f>IF(OR(ISBLANK(F423),F423&gt;4),"Salah isi","judge")</f>
        <v>Salah isi</v>
      </c>
      <c r="K423" s="58"/>
    </row>
    <row r="424" spans="1:11" ht="60">
      <c r="A424" s="367"/>
      <c r="B424" s="256"/>
      <c r="C424" s="325"/>
      <c r="D424" s="59">
        <v>4</v>
      </c>
      <c r="E424" s="60" t="s">
        <v>263</v>
      </c>
      <c r="F424" s="61"/>
      <c r="K424" s="16"/>
    </row>
    <row r="425" spans="1:11" ht="30">
      <c r="A425" s="367"/>
      <c r="B425" s="256"/>
      <c r="C425" s="325"/>
      <c r="D425" s="59">
        <v>3</v>
      </c>
      <c r="E425" s="60" t="s">
        <v>264</v>
      </c>
      <c r="F425" s="61"/>
      <c r="K425" s="16"/>
    </row>
    <row r="426" spans="1:11" ht="30">
      <c r="A426" s="367"/>
      <c r="B426" s="256"/>
      <c r="C426" s="325"/>
      <c r="D426" s="59">
        <v>2</v>
      </c>
      <c r="E426" s="60" t="s">
        <v>265</v>
      </c>
      <c r="F426" s="61"/>
      <c r="K426" s="16"/>
    </row>
    <row r="427" spans="1:11" ht="30">
      <c r="A427" s="367"/>
      <c r="B427" s="256"/>
      <c r="C427" s="325"/>
      <c r="D427" s="59">
        <v>1</v>
      </c>
      <c r="E427" s="60" t="s">
        <v>266</v>
      </c>
      <c r="F427" s="61"/>
      <c r="K427" s="16"/>
    </row>
    <row r="428" spans="1:11">
      <c r="A428" s="367"/>
      <c r="B428" s="256"/>
      <c r="C428" s="325"/>
      <c r="D428" s="59">
        <v>0</v>
      </c>
      <c r="E428" s="60" t="s">
        <v>267</v>
      </c>
      <c r="F428" s="62"/>
      <c r="K428" s="16"/>
    </row>
    <row r="429" spans="1:11" ht="15" customHeight="1">
      <c r="A429" s="368"/>
      <c r="B429" s="257"/>
      <c r="C429" s="326"/>
      <c r="D429" s="371" t="s">
        <v>27</v>
      </c>
      <c r="E429" s="372"/>
      <c r="F429" s="63">
        <f>IF(G423="Salah isi",0,F423)</f>
        <v>0</v>
      </c>
      <c r="K429" s="16"/>
    </row>
    <row r="430" spans="1:11" ht="15" customHeight="1">
      <c r="A430" s="64"/>
      <c r="B430" s="64"/>
      <c r="C430" s="64"/>
      <c r="D430" s="65"/>
      <c r="E430" s="66"/>
      <c r="F430" s="67"/>
      <c r="K430" s="16"/>
    </row>
    <row r="431" spans="1:11" ht="41.45" customHeight="1">
      <c r="A431" s="366">
        <v>37</v>
      </c>
      <c r="B431" s="255"/>
      <c r="C431" s="334" t="s">
        <v>268</v>
      </c>
      <c r="D431" s="369" t="s">
        <v>269</v>
      </c>
      <c r="E431" s="370"/>
      <c r="F431" s="57" t="s">
        <v>5</v>
      </c>
      <c r="G431" s="15" t="str">
        <f>IF(OR(ISBLANK(F431),F431&gt;4),"Salah isi","judge")</f>
        <v>Salah isi</v>
      </c>
      <c r="K431" s="58"/>
    </row>
    <row r="432" spans="1:11" ht="45">
      <c r="A432" s="367"/>
      <c r="B432" s="256"/>
      <c r="C432" s="325"/>
      <c r="D432" s="59">
        <v>4</v>
      </c>
      <c r="E432" s="60" t="s">
        <v>270</v>
      </c>
      <c r="F432" s="61"/>
      <c r="K432" s="16"/>
    </row>
    <row r="433" spans="1:11" ht="45">
      <c r="A433" s="367"/>
      <c r="B433" s="256"/>
      <c r="C433" s="325"/>
      <c r="D433" s="59">
        <v>3</v>
      </c>
      <c r="E433" s="60" t="s">
        <v>271</v>
      </c>
      <c r="F433" s="61"/>
      <c r="K433" s="16"/>
    </row>
    <row r="434" spans="1:11" ht="45">
      <c r="A434" s="367"/>
      <c r="B434" s="256"/>
      <c r="C434" s="325"/>
      <c r="D434" s="59">
        <v>2</v>
      </c>
      <c r="E434" s="60" t="s">
        <v>272</v>
      </c>
      <c r="F434" s="61"/>
      <c r="K434" s="16"/>
    </row>
    <row r="435" spans="1:11" ht="45">
      <c r="A435" s="367"/>
      <c r="B435" s="256"/>
      <c r="C435" s="325"/>
      <c r="D435" s="59">
        <v>1</v>
      </c>
      <c r="E435" s="60" t="s">
        <v>273</v>
      </c>
      <c r="F435" s="61"/>
      <c r="K435" s="16"/>
    </row>
    <row r="436" spans="1:11">
      <c r="A436" s="367"/>
      <c r="B436" s="256"/>
      <c r="C436" s="325"/>
      <c r="D436" s="59">
        <v>0</v>
      </c>
      <c r="E436" s="60" t="s">
        <v>274</v>
      </c>
      <c r="F436" s="62"/>
      <c r="K436" s="16"/>
    </row>
    <row r="437" spans="1:11" ht="15" customHeight="1">
      <c r="A437" s="368"/>
      <c r="B437" s="257"/>
      <c r="C437" s="326"/>
      <c r="D437" s="371" t="s">
        <v>27</v>
      </c>
      <c r="E437" s="372"/>
      <c r="F437" s="63">
        <f>IF(G431="Salah isi",0,F431)</f>
        <v>0</v>
      </c>
      <c r="K437" s="16"/>
    </row>
    <row r="438" spans="1:11" ht="15" customHeight="1">
      <c r="A438" s="64"/>
      <c r="B438" s="64"/>
      <c r="C438" s="64"/>
      <c r="D438" s="65"/>
      <c r="E438" s="66"/>
      <c r="F438" s="67"/>
      <c r="K438" s="16"/>
    </row>
    <row r="439" spans="1:11" ht="40.35" customHeight="1">
      <c r="A439" s="366">
        <v>38</v>
      </c>
      <c r="B439" s="255"/>
      <c r="C439" s="334" t="s">
        <v>275</v>
      </c>
      <c r="D439" s="369" t="s">
        <v>276</v>
      </c>
      <c r="E439" s="409"/>
      <c r="F439" s="57" t="s">
        <v>5</v>
      </c>
      <c r="G439" s="15" t="str">
        <f>IF(OR(ISBLANK(F439),F439&gt;4),"Salah isi","judge")</f>
        <v>Salah isi</v>
      </c>
      <c r="K439" s="58"/>
    </row>
    <row r="440" spans="1:11" ht="75">
      <c r="A440" s="367"/>
      <c r="B440" s="256"/>
      <c r="C440" s="325"/>
      <c r="D440" s="68">
        <v>4</v>
      </c>
      <c r="E440" s="156" t="s">
        <v>277</v>
      </c>
      <c r="F440" s="70"/>
      <c r="K440" s="16"/>
    </row>
    <row r="441" spans="1:11" ht="45">
      <c r="A441" s="367"/>
      <c r="B441" s="256"/>
      <c r="C441" s="325"/>
      <c r="D441" s="68">
        <v>3</v>
      </c>
      <c r="E441" s="156" t="s">
        <v>278</v>
      </c>
      <c r="F441" s="70"/>
      <c r="K441" s="16"/>
    </row>
    <row r="442" spans="1:11" ht="30">
      <c r="A442" s="367"/>
      <c r="B442" s="256"/>
      <c r="C442" s="325"/>
      <c r="D442" s="68">
        <v>2</v>
      </c>
      <c r="E442" s="156" t="s">
        <v>279</v>
      </c>
      <c r="F442" s="70"/>
      <c r="K442" s="16"/>
    </row>
    <row r="443" spans="1:11" ht="30">
      <c r="A443" s="367"/>
      <c r="B443" s="256"/>
      <c r="C443" s="325"/>
      <c r="D443" s="68">
        <v>1</v>
      </c>
      <c r="E443" s="156" t="s">
        <v>280</v>
      </c>
      <c r="F443" s="70"/>
      <c r="K443" s="16"/>
    </row>
    <row r="444" spans="1:11" ht="30">
      <c r="A444" s="367"/>
      <c r="B444" s="256"/>
      <c r="C444" s="325"/>
      <c r="D444" s="68">
        <v>0</v>
      </c>
      <c r="E444" s="156" t="s">
        <v>281</v>
      </c>
      <c r="F444" s="71"/>
      <c r="K444" s="16"/>
    </row>
    <row r="445" spans="1:11" ht="42" customHeight="1">
      <c r="A445" s="367"/>
      <c r="B445" s="256"/>
      <c r="C445" s="325"/>
      <c r="D445" s="413" t="s">
        <v>282</v>
      </c>
      <c r="E445" s="414"/>
      <c r="F445" s="73" t="s">
        <v>5</v>
      </c>
      <c r="G445" s="15" t="str">
        <f>IF(OR(ISBLANK(F445),F445&gt;4),"Salah isi","judge")</f>
        <v>Salah isi</v>
      </c>
      <c r="K445" s="16"/>
    </row>
    <row r="446" spans="1:11" ht="75">
      <c r="A446" s="367"/>
      <c r="B446" s="256"/>
      <c r="C446" s="325"/>
      <c r="D446" s="68">
        <v>4</v>
      </c>
      <c r="E446" s="69" t="s">
        <v>283</v>
      </c>
      <c r="F446" s="70"/>
      <c r="G446" s="157"/>
      <c r="H446" s="157"/>
      <c r="I446" s="157"/>
      <c r="K446" s="16"/>
    </row>
    <row r="447" spans="1:11" ht="60">
      <c r="A447" s="367"/>
      <c r="B447" s="256"/>
      <c r="C447" s="325"/>
      <c r="D447" s="68">
        <v>3</v>
      </c>
      <c r="E447" s="69" t="s">
        <v>284</v>
      </c>
      <c r="F447" s="70"/>
      <c r="G447" s="157"/>
      <c r="H447" s="157"/>
      <c r="I447" s="157"/>
      <c r="K447" s="16"/>
    </row>
    <row r="448" spans="1:11" ht="30">
      <c r="A448" s="367"/>
      <c r="B448" s="256"/>
      <c r="C448" s="325"/>
      <c r="D448" s="68">
        <v>2</v>
      </c>
      <c r="E448" s="69" t="s">
        <v>285</v>
      </c>
      <c r="F448" s="70"/>
      <c r="G448" s="157"/>
      <c r="H448" s="157"/>
      <c r="I448" s="157"/>
      <c r="K448" s="16"/>
    </row>
    <row r="449" spans="1:11" ht="30">
      <c r="A449" s="367"/>
      <c r="B449" s="256"/>
      <c r="C449" s="325"/>
      <c r="D449" s="68">
        <v>1</v>
      </c>
      <c r="E449" s="69" t="s">
        <v>286</v>
      </c>
      <c r="F449" s="70"/>
      <c r="G449" s="157"/>
      <c r="H449" s="157"/>
      <c r="I449" s="157"/>
      <c r="K449" s="16"/>
    </row>
    <row r="450" spans="1:11" ht="30">
      <c r="A450" s="367"/>
      <c r="B450" s="256"/>
      <c r="C450" s="325"/>
      <c r="D450" s="68">
        <v>0</v>
      </c>
      <c r="E450" s="69" t="s">
        <v>287</v>
      </c>
      <c r="F450" s="71"/>
      <c r="G450" s="157"/>
      <c r="H450" s="157"/>
      <c r="I450" s="157"/>
      <c r="K450" s="16"/>
    </row>
    <row r="451" spans="1:11" ht="34.35" customHeight="1">
      <c r="A451" s="367"/>
      <c r="B451" s="256"/>
      <c r="C451" s="325"/>
      <c r="D451" s="393" t="s">
        <v>288</v>
      </c>
      <c r="E451" s="414"/>
      <c r="F451" s="73" t="s">
        <v>5</v>
      </c>
      <c r="G451" s="15" t="str">
        <f>IF(OR(F451&lt;1,F451&gt;4),"Salah isi","judge")</f>
        <v>Salah isi</v>
      </c>
      <c r="K451" s="16"/>
    </row>
    <row r="452" spans="1:11" ht="90">
      <c r="A452" s="367"/>
      <c r="B452" s="256"/>
      <c r="C452" s="325"/>
      <c r="D452" s="68">
        <v>4</v>
      </c>
      <c r="E452" s="69" t="s">
        <v>289</v>
      </c>
      <c r="F452" s="70"/>
      <c r="G452" s="157"/>
      <c r="H452" s="157"/>
      <c r="I452" s="157"/>
      <c r="K452" s="16"/>
    </row>
    <row r="453" spans="1:11" ht="60">
      <c r="A453" s="367"/>
      <c r="B453" s="256"/>
      <c r="C453" s="325"/>
      <c r="D453" s="68">
        <v>3</v>
      </c>
      <c r="E453" s="69" t="s">
        <v>290</v>
      </c>
      <c r="F453" s="70"/>
      <c r="G453" s="157"/>
      <c r="H453" s="157"/>
      <c r="I453" s="157"/>
      <c r="K453" s="16"/>
    </row>
    <row r="454" spans="1:11" ht="45">
      <c r="A454" s="367"/>
      <c r="B454" s="256"/>
      <c r="C454" s="325"/>
      <c r="D454" s="68">
        <v>2</v>
      </c>
      <c r="E454" s="69" t="s">
        <v>291</v>
      </c>
      <c r="F454" s="70"/>
      <c r="G454" s="157"/>
      <c r="H454" s="157"/>
      <c r="I454" s="157"/>
      <c r="K454" s="16"/>
    </row>
    <row r="455" spans="1:11" ht="30">
      <c r="A455" s="367"/>
      <c r="B455" s="256"/>
      <c r="C455" s="325"/>
      <c r="D455" s="68">
        <v>1</v>
      </c>
      <c r="E455" s="69" t="s">
        <v>292</v>
      </c>
      <c r="F455" s="70"/>
      <c r="K455" s="16"/>
    </row>
    <row r="456" spans="1:11">
      <c r="A456" s="367"/>
      <c r="B456" s="256"/>
      <c r="C456" s="325"/>
      <c r="D456" s="68">
        <v>0</v>
      </c>
      <c r="E456" s="69" t="s">
        <v>30</v>
      </c>
      <c r="F456" s="71"/>
      <c r="K456" s="16"/>
    </row>
    <row r="457" spans="1:11" ht="15" customHeight="1">
      <c r="A457" s="368"/>
      <c r="B457" s="257"/>
      <c r="C457" s="326"/>
      <c r="D457" s="371" t="s">
        <v>293</v>
      </c>
      <c r="E457" s="402"/>
      <c r="F457" s="63">
        <f>IF(OR(G439="Salah isi",G445="Salah isi",G451="Salah isi"),0,(F439+2*F445+2*F451)/5)</f>
        <v>0</v>
      </c>
      <c r="K457" s="16"/>
    </row>
    <row r="458" spans="1:11" ht="15" customHeight="1">
      <c r="A458" s="64"/>
      <c r="B458" s="64"/>
      <c r="C458" s="64"/>
      <c r="D458" s="65"/>
      <c r="E458" s="66"/>
      <c r="F458" s="67"/>
      <c r="K458" s="16"/>
    </row>
    <row r="459" spans="1:11" ht="53.45" customHeight="1">
      <c r="A459" s="366">
        <v>39</v>
      </c>
      <c r="B459" s="255"/>
      <c r="C459" s="334" t="s">
        <v>294</v>
      </c>
      <c r="D459" s="369" t="s">
        <v>295</v>
      </c>
      <c r="E459" s="370"/>
      <c r="F459" s="57" t="s">
        <v>5</v>
      </c>
      <c r="G459" s="15" t="str">
        <f>IF(OR(F459&lt;1,F459&gt;4),"Salah isi","judge")</f>
        <v>Salah isi</v>
      </c>
      <c r="K459" s="58"/>
    </row>
    <row r="460" spans="1:11" ht="45">
      <c r="A460" s="367"/>
      <c r="B460" s="256"/>
      <c r="C460" s="325"/>
      <c r="D460" s="59">
        <v>4</v>
      </c>
      <c r="E460" s="60" t="s">
        <v>296</v>
      </c>
      <c r="F460" s="61"/>
      <c r="K460" s="16"/>
    </row>
    <row r="461" spans="1:11" ht="45">
      <c r="A461" s="367"/>
      <c r="B461" s="256"/>
      <c r="C461" s="325"/>
      <c r="D461" s="59">
        <v>3</v>
      </c>
      <c r="E461" s="60" t="s">
        <v>297</v>
      </c>
      <c r="F461" s="61"/>
      <c r="K461" s="16"/>
    </row>
    <row r="462" spans="1:11" ht="30">
      <c r="A462" s="367"/>
      <c r="B462" s="256"/>
      <c r="C462" s="325"/>
      <c r="D462" s="59">
        <v>2</v>
      </c>
      <c r="E462" s="60" t="s">
        <v>298</v>
      </c>
      <c r="F462" s="61"/>
      <c r="K462" s="16"/>
    </row>
    <row r="463" spans="1:11" ht="30">
      <c r="A463" s="367"/>
      <c r="B463" s="256"/>
      <c r="C463" s="325"/>
      <c r="D463" s="59">
        <v>1</v>
      </c>
      <c r="E463" s="60" t="s">
        <v>299</v>
      </c>
      <c r="F463" s="61"/>
      <c r="K463" s="16"/>
    </row>
    <row r="464" spans="1:11">
      <c r="A464" s="367"/>
      <c r="B464" s="256"/>
      <c r="C464" s="325"/>
      <c r="D464" s="59">
        <v>0</v>
      </c>
      <c r="E464" s="60" t="s">
        <v>30</v>
      </c>
      <c r="F464" s="62"/>
      <c r="K464" s="16"/>
    </row>
    <row r="465" spans="1:11" ht="15" customHeight="1">
      <c r="A465" s="368"/>
      <c r="B465" s="257"/>
      <c r="C465" s="326"/>
      <c r="D465" s="371" t="s">
        <v>27</v>
      </c>
      <c r="E465" s="372"/>
      <c r="F465" s="63">
        <f>IF(G459="Salah isi",0,F459)</f>
        <v>0</v>
      </c>
      <c r="K465" s="16"/>
    </row>
    <row r="466" spans="1:11" ht="15" customHeight="1">
      <c r="A466" s="64"/>
      <c r="B466" s="64"/>
      <c r="C466" s="64"/>
      <c r="D466" s="65"/>
      <c r="E466" s="66"/>
      <c r="F466" s="67"/>
      <c r="K466" s="16"/>
    </row>
    <row r="467" spans="1:11" ht="40.35" customHeight="1">
      <c r="A467" s="366">
        <v>40</v>
      </c>
      <c r="B467" s="255"/>
      <c r="C467" s="334" t="s">
        <v>300</v>
      </c>
      <c r="D467" s="369" t="s">
        <v>301</v>
      </c>
      <c r="E467" s="409"/>
      <c r="F467" s="57" t="s">
        <v>5</v>
      </c>
      <c r="G467" s="15" t="str">
        <f>IF(OR(ISBLANK(F467),F467&gt;4),"Salah isi","judge")</f>
        <v>Salah isi</v>
      </c>
      <c r="K467" s="58"/>
    </row>
    <row r="468" spans="1:11" ht="75">
      <c r="A468" s="367"/>
      <c r="B468" s="256"/>
      <c r="C468" s="325"/>
      <c r="D468" s="68">
        <v>4</v>
      </c>
      <c r="E468" s="156" t="s">
        <v>302</v>
      </c>
      <c r="F468" s="70"/>
      <c r="K468" s="16"/>
    </row>
    <row r="469" spans="1:11" ht="60">
      <c r="A469" s="367"/>
      <c r="B469" s="256"/>
      <c r="C469" s="325"/>
      <c r="D469" s="68">
        <v>3</v>
      </c>
      <c r="E469" s="156" t="s">
        <v>303</v>
      </c>
      <c r="F469" s="70"/>
      <c r="K469" s="16"/>
    </row>
    <row r="470" spans="1:11" ht="60">
      <c r="A470" s="367"/>
      <c r="B470" s="256"/>
      <c r="C470" s="325"/>
      <c r="D470" s="68">
        <v>2</v>
      </c>
      <c r="E470" s="156" t="s">
        <v>304</v>
      </c>
      <c r="F470" s="70"/>
      <c r="K470" s="16"/>
    </row>
    <row r="471" spans="1:11" ht="60">
      <c r="A471" s="367"/>
      <c r="B471" s="256"/>
      <c r="C471" s="325"/>
      <c r="D471" s="68">
        <v>1</v>
      </c>
      <c r="E471" s="156" t="s">
        <v>305</v>
      </c>
      <c r="F471" s="70"/>
      <c r="K471" s="16"/>
    </row>
    <row r="472" spans="1:11">
      <c r="A472" s="367"/>
      <c r="B472" s="256"/>
      <c r="C472" s="325"/>
      <c r="D472" s="68">
        <v>0</v>
      </c>
      <c r="E472" s="156" t="s">
        <v>306</v>
      </c>
      <c r="F472" s="71"/>
      <c r="K472" s="16"/>
    </row>
    <row r="473" spans="1:11" ht="34.35" customHeight="1">
      <c r="A473" s="367"/>
      <c r="B473" s="256"/>
      <c r="C473" s="325"/>
      <c r="D473" s="393" t="s">
        <v>307</v>
      </c>
      <c r="E473" s="414"/>
      <c r="F473" s="73" t="s">
        <v>5</v>
      </c>
      <c r="G473" s="15" t="str">
        <f>IF(OR(ISBLANK(F473),F473&gt;4),"Salah isi","judge")</f>
        <v>Salah isi</v>
      </c>
      <c r="K473" s="16"/>
    </row>
    <row r="474" spans="1:11" ht="45">
      <c r="A474" s="367"/>
      <c r="B474" s="256"/>
      <c r="C474" s="325"/>
      <c r="D474" s="68">
        <v>4</v>
      </c>
      <c r="E474" s="69" t="s">
        <v>308</v>
      </c>
      <c r="F474" s="70"/>
      <c r="G474" s="157"/>
      <c r="H474" s="157"/>
      <c r="I474" s="157"/>
      <c r="K474" s="16"/>
    </row>
    <row r="475" spans="1:11" ht="45">
      <c r="A475" s="367"/>
      <c r="B475" s="256"/>
      <c r="C475" s="325"/>
      <c r="D475" s="68">
        <v>3</v>
      </c>
      <c r="E475" s="69" t="s">
        <v>309</v>
      </c>
      <c r="F475" s="70"/>
      <c r="G475" s="157"/>
      <c r="H475" s="157"/>
      <c r="I475" s="157"/>
      <c r="K475" s="16"/>
    </row>
    <row r="476" spans="1:11" ht="30">
      <c r="A476" s="367"/>
      <c r="B476" s="256"/>
      <c r="C476" s="325"/>
      <c r="D476" s="68">
        <v>2</v>
      </c>
      <c r="E476" s="69" t="s">
        <v>310</v>
      </c>
      <c r="F476" s="70"/>
      <c r="G476" s="157"/>
      <c r="H476" s="157"/>
      <c r="I476" s="157"/>
      <c r="K476" s="16"/>
    </row>
    <row r="477" spans="1:11" ht="45">
      <c r="A477" s="367"/>
      <c r="B477" s="256"/>
      <c r="C477" s="325"/>
      <c r="D477" s="68">
        <v>1</v>
      </c>
      <c r="E477" s="69" t="s">
        <v>311</v>
      </c>
      <c r="F477" s="70"/>
      <c r="K477" s="16"/>
    </row>
    <row r="478" spans="1:11" ht="30" customHeight="1">
      <c r="A478" s="367"/>
      <c r="B478" s="256"/>
      <c r="C478" s="325"/>
      <c r="D478" s="68">
        <v>0</v>
      </c>
      <c r="E478" s="69" t="s">
        <v>312</v>
      </c>
      <c r="F478" s="71"/>
      <c r="K478" s="16"/>
    </row>
    <row r="479" spans="1:11" ht="15" customHeight="1">
      <c r="A479" s="368"/>
      <c r="B479" s="257"/>
      <c r="C479" s="326"/>
      <c r="D479" s="371" t="s">
        <v>31</v>
      </c>
      <c r="E479" s="402"/>
      <c r="F479" s="63">
        <f>IF(OR(G467="Salah isi",G473="Salah isi"),0,(F467+2*F473)/3)</f>
        <v>0</v>
      </c>
      <c r="K479" s="16"/>
    </row>
    <row r="480" spans="1:11" ht="15" customHeight="1">
      <c r="A480" s="64"/>
      <c r="B480" s="64"/>
      <c r="C480" s="64"/>
      <c r="D480" s="65"/>
      <c r="E480" s="66"/>
      <c r="F480" s="67"/>
      <c r="K480" s="16"/>
    </row>
    <row r="481" spans="1:11" ht="40.35" customHeight="1">
      <c r="A481" s="366">
        <v>41</v>
      </c>
      <c r="B481" s="255"/>
      <c r="C481" s="334" t="s">
        <v>313</v>
      </c>
      <c r="D481" s="369" t="s">
        <v>314</v>
      </c>
      <c r="E481" s="409"/>
      <c r="F481" s="57" t="s">
        <v>5</v>
      </c>
      <c r="G481" s="15" t="str">
        <f>IF(OR(ISBLANK(F481),F481&gt;4),"Salah isi","judge")</f>
        <v>Salah isi</v>
      </c>
      <c r="K481" s="58"/>
    </row>
    <row r="482" spans="1:11" ht="60">
      <c r="A482" s="367"/>
      <c r="B482" s="256"/>
      <c r="C482" s="325"/>
      <c r="D482" s="68">
        <v>4</v>
      </c>
      <c r="E482" s="156" t="s">
        <v>315</v>
      </c>
      <c r="F482" s="70"/>
      <c r="K482" s="16"/>
    </row>
    <row r="483" spans="1:11" ht="45">
      <c r="A483" s="367"/>
      <c r="B483" s="256"/>
      <c r="C483" s="325"/>
      <c r="D483" s="68">
        <v>3</v>
      </c>
      <c r="E483" s="156" t="s">
        <v>316</v>
      </c>
      <c r="F483" s="70"/>
      <c r="K483" s="16"/>
    </row>
    <row r="484" spans="1:11" ht="45">
      <c r="A484" s="367"/>
      <c r="B484" s="256"/>
      <c r="C484" s="325"/>
      <c r="D484" s="68">
        <v>2</v>
      </c>
      <c r="E484" s="156" t="s">
        <v>317</v>
      </c>
      <c r="F484" s="70"/>
      <c r="K484" s="16"/>
    </row>
    <row r="485" spans="1:11" ht="45">
      <c r="A485" s="367"/>
      <c r="B485" s="256"/>
      <c r="C485" s="325"/>
      <c r="D485" s="68">
        <v>1</v>
      </c>
      <c r="E485" s="156" t="s">
        <v>318</v>
      </c>
      <c r="F485" s="70"/>
      <c r="K485" s="16"/>
    </row>
    <row r="486" spans="1:11" ht="30">
      <c r="A486" s="367"/>
      <c r="B486" s="256"/>
      <c r="C486" s="325"/>
      <c r="D486" s="68">
        <v>0</v>
      </c>
      <c r="E486" s="156" t="s">
        <v>319</v>
      </c>
      <c r="F486" s="71"/>
      <c r="K486" s="16"/>
    </row>
    <row r="487" spans="1:11" ht="34.35" customHeight="1">
      <c r="A487" s="367"/>
      <c r="B487" s="256"/>
      <c r="C487" s="325"/>
      <c r="D487" s="393" t="s">
        <v>320</v>
      </c>
      <c r="E487" s="414"/>
      <c r="F487" s="73" t="s">
        <v>5</v>
      </c>
      <c r="G487" s="15" t="str">
        <f>IF(OR(ISBLANK(F487),F487&gt;4),"Salah isi","judge")</f>
        <v>Salah isi</v>
      </c>
      <c r="K487" s="16"/>
    </row>
    <row r="488" spans="1:11" ht="90">
      <c r="A488" s="367"/>
      <c r="B488" s="256"/>
      <c r="C488" s="325"/>
      <c r="D488" s="68">
        <v>4</v>
      </c>
      <c r="E488" s="69" t="s">
        <v>321</v>
      </c>
      <c r="F488" s="70"/>
      <c r="G488" s="157"/>
      <c r="H488" s="157"/>
      <c r="I488" s="157"/>
      <c r="K488" s="16"/>
    </row>
    <row r="489" spans="1:11" ht="75">
      <c r="A489" s="367"/>
      <c r="B489" s="256"/>
      <c r="C489" s="325"/>
      <c r="D489" s="68">
        <v>3</v>
      </c>
      <c r="E489" s="69" t="s">
        <v>322</v>
      </c>
      <c r="F489" s="70"/>
      <c r="G489" s="157"/>
      <c r="H489" s="157"/>
      <c r="I489" s="157"/>
      <c r="K489" s="16"/>
    </row>
    <row r="490" spans="1:11" ht="45">
      <c r="A490" s="367"/>
      <c r="B490" s="256"/>
      <c r="C490" s="325"/>
      <c r="D490" s="68">
        <v>2</v>
      </c>
      <c r="E490" s="69" t="s">
        <v>323</v>
      </c>
      <c r="F490" s="70"/>
      <c r="G490" s="157"/>
      <c r="H490" s="157"/>
      <c r="I490" s="157"/>
      <c r="K490" s="16"/>
    </row>
    <row r="491" spans="1:11" ht="30">
      <c r="A491" s="367"/>
      <c r="B491" s="256"/>
      <c r="C491" s="325"/>
      <c r="D491" s="68">
        <v>1</v>
      </c>
      <c r="E491" s="69" t="s">
        <v>324</v>
      </c>
      <c r="F491" s="70"/>
      <c r="K491" s="16"/>
    </row>
    <row r="492" spans="1:11" ht="30" customHeight="1">
      <c r="A492" s="367"/>
      <c r="B492" s="256"/>
      <c r="C492" s="325"/>
      <c r="D492" s="68">
        <v>0</v>
      </c>
      <c r="E492" s="69" t="s">
        <v>325</v>
      </c>
      <c r="F492" s="71"/>
      <c r="K492" s="16"/>
    </row>
    <row r="493" spans="1:11" ht="128.25" customHeight="1">
      <c r="A493" s="367"/>
      <c r="B493" s="256"/>
      <c r="C493" s="325"/>
      <c r="D493" s="416" t="s">
        <v>326</v>
      </c>
      <c r="E493" s="417"/>
      <c r="F493" s="73" t="s">
        <v>5</v>
      </c>
      <c r="G493" s="15" t="str">
        <f>IF(OR(F493&lt;2,AND(F493&gt;2,F493&lt;4),F493&gt;4),"Salah isi","judge")</f>
        <v>Salah isi</v>
      </c>
      <c r="K493" s="16"/>
    </row>
    <row r="494" spans="1:11" ht="60">
      <c r="A494" s="367"/>
      <c r="B494" s="256"/>
      <c r="C494" s="325"/>
      <c r="D494" s="158">
        <v>4</v>
      </c>
      <c r="E494" s="159" t="s">
        <v>327</v>
      </c>
      <c r="F494" s="160"/>
      <c r="G494" s="157"/>
      <c r="H494" s="157"/>
      <c r="I494" s="157"/>
      <c r="K494" s="16"/>
    </row>
    <row r="495" spans="1:11">
      <c r="A495" s="367"/>
      <c r="B495" s="256"/>
      <c r="C495" s="325"/>
      <c r="D495" s="158">
        <v>3</v>
      </c>
      <c r="E495" s="69" t="s">
        <v>328</v>
      </c>
      <c r="F495" s="160"/>
      <c r="G495" s="157"/>
      <c r="H495" s="157"/>
      <c r="I495" s="157"/>
      <c r="K495" s="16"/>
    </row>
    <row r="496" spans="1:11" ht="60">
      <c r="A496" s="367"/>
      <c r="B496" s="256"/>
      <c r="C496" s="325"/>
      <c r="D496" s="158">
        <v>2</v>
      </c>
      <c r="E496" s="159" t="s">
        <v>329</v>
      </c>
      <c r="F496" s="160"/>
      <c r="G496" s="157"/>
      <c r="H496" s="157"/>
      <c r="I496" s="157"/>
      <c r="K496" s="16"/>
    </row>
    <row r="497" spans="1:11">
      <c r="A497" s="367"/>
      <c r="B497" s="256"/>
      <c r="C497" s="325"/>
      <c r="D497" s="158">
        <v>1</v>
      </c>
      <c r="E497" s="336" t="s">
        <v>37</v>
      </c>
      <c r="F497" s="340"/>
      <c r="K497" s="16"/>
    </row>
    <row r="498" spans="1:11">
      <c r="A498" s="367"/>
      <c r="B498" s="256"/>
      <c r="C498" s="325"/>
      <c r="D498" s="158">
        <v>0</v>
      </c>
      <c r="E498" s="337"/>
      <c r="F498" s="341"/>
      <c r="K498" s="16"/>
    </row>
    <row r="499" spans="1:11" ht="111.75" customHeight="1">
      <c r="A499" s="367"/>
      <c r="B499" s="256"/>
      <c r="C499" s="325"/>
      <c r="D499" s="393" t="s">
        <v>330</v>
      </c>
      <c r="E499" s="414"/>
      <c r="F499" s="73" t="s">
        <v>5</v>
      </c>
      <c r="G499" s="15" t="str">
        <f>IF(OR(F499&lt;2,AND(F499&gt;2,F499&lt;4),F499&gt;4),"Salah isi","judge")</f>
        <v>Salah isi</v>
      </c>
      <c r="K499" s="16"/>
    </row>
    <row r="500" spans="1:11" ht="45">
      <c r="A500" s="367"/>
      <c r="B500" s="256"/>
      <c r="C500" s="325"/>
      <c r="D500" s="68">
        <v>4</v>
      </c>
      <c r="E500" s="69" t="s">
        <v>331</v>
      </c>
      <c r="F500" s="70"/>
      <c r="G500" s="157"/>
      <c r="H500" s="157"/>
      <c r="I500" s="157"/>
      <c r="K500" s="16"/>
    </row>
    <row r="501" spans="1:11">
      <c r="A501" s="367"/>
      <c r="B501" s="256"/>
      <c r="C501" s="325"/>
      <c r="D501" s="68">
        <v>3</v>
      </c>
      <c r="E501" s="69" t="s">
        <v>328</v>
      </c>
      <c r="F501" s="70"/>
      <c r="G501" s="157"/>
      <c r="H501" s="157"/>
      <c r="I501" s="157"/>
      <c r="K501" s="16"/>
    </row>
    <row r="502" spans="1:11" ht="45">
      <c r="A502" s="367"/>
      <c r="B502" s="256"/>
      <c r="C502" s="325"/>
      <c r="D502" s="68">
        <v>2</v>
      </c>
      <c r="E502" s="69" t="s">
        <v>332</v>
      </c>
      <c r="F502" s="70"/>
      <c r="G502" s="157"/>
      <c r="H502" s="157"/>
      <c r="I502" s="157"/>
      <c r="K502" s="16"/>
    </row>
    <row r="503" spans="1:11">
      <c r="A503" s="367"/>
      <c r="B503" s="256"/>
      <c r="C503" s="325"/>
      <c r="D503" s="68">
        <v>1</v>
      </c>
      <c r="E503" s="336" t="s">
        <v>37</v>
      </c>
      <c r="F503" s="338"/>
      <c r="K503" s="16"/>
    </row>
    <row r="504" spans="1:11">
      <c r="A504" s="367"/>
      <c r="B504" s="256"/>
      <c r="C504" s="325"/>
      <c r="D504" s="68">
        <v>0</v>
      </c>
      <c r="E504" s="337"/>
      <c r="F504" s="339"/>
      <c r="K504" s="16"/>
    </row>
    <row r="505" spans="1:11" ht="55.5" customHeight="1">
      <c r="A505" s="367"/>
      <c r="B505" s="256"/>
      <c r="C505" s="325"/>
      <c r="D505" s="393" t="s">
        <v>333</v>
      </c>
      <c r="E505" s="414"/>
      <c r="F505" s="73" t="s">
        <v>5</v>
      </c>
      <c r="G505" s="15" t="str">
        <f>IF(OR(ISBLANK(F505),F505&gt;4),"Salah isi","judge")</f>
        <v>Salah isi</v>
      </c>
      <c r="K505" s="16"/>
    </row>
    <row r="506" spans="1:11" ht="45" customHeight="1">
      <c r="A506" s="367"/>
      <c r="B506" s="256"/>
      <c r="C506" s="325"/>
      <c r="D506" s="68">
        <v>4</v>
      </c>
      <c r="E506" s="69" t="s">
        <v>334</v>
      </c>
      <c r="F506" s="70"/>
      <c r="G506" s="157"/>
      <c r="H506" s="157"/>
      <c r="I506" s="157"/>
      <c r="K506" s="16"/>
    </row>
    <row r="507" spans="1:11" ht="45" customHeight="1">
      <c r="A507" s="367"/>
      <c r="B507" s="256"/>
      <c r="C507" s="325"/>
      <c r="D507" s="68">
        <v>3</v>
      </c>
      <c r="E507" s="69" t="s">
        <v>335</v>
      </c>
      <c r="F507" s="70"/>
      <c r="G507" s="157"/>
      <c r="H507" s="157"/>
      <c r="I507" s="157"/>
      <c r="K507" s="16"/>
    </row>
    <row r="508" spans="1:11" ht="45" customHeight="1">
      <c r="A508" s="367"/>
      <c r="B508" s="256"/>
      <c r="C508" s="325"/>
      <c r="D508" s="68">
        <v>2</v>
      </c>
      <c r="E508" s="69" t="s">
        <v>336</v>
      </c>
      <c r="F508" s="70"/>
      <c r="G508" s="157"/>
      <c r="H508" s="157"/>
      <c r="I508" s="157"/>
      <c r="K508" s="16"/>
    </row>
    <row r="509" spans="1:11" ht="45">
      <c r="A509" s="367"/>
      <c r="B509" s="256"/>
      <c r="C509" s="325"/>
      <c r="D509" s="68">
        <v>1</v>
      </c>
      <c r="E509" s="69" t="s">
        <v>337</v>
      </c>
      <c r="F509" s="70"/>
      <c r="K509" s="16"/>
    </row>
    <row r="510" spans="1:11" ht="30" customHeight="1">
      <c r="A510" s="367"/>
      <c r="B510" s="256"/>
      <c r="C510" s="325"/>
      <c r="D510" s="68">
        <v>0</v>
      </c>
      <c r="E510" s="69" t="s">
        <v>338</v>
      </c>
      <c r="F510" s="71"/>
      <c r="K510" s="16"/>
    </row>
    <row r="511" spans="1:11" ht="15" customHeight="1">
      <c r="A511" s="368"/>
      <c r="B511" s="257"/>
      <c r="C511" s="326"/>
      <c r="D511" s="371" t="s">
        <v>339</v>
      </c>
      <c r="E511" s="402"/>
      <c r="F511" s="63">
        <f>IF(OR(G481="Salah isi",G493="Salah isi",G505="Salah isi",G487="Salah Isi",G499="Salah Isi"),0,(F481+2*F487+2*F493+2*F499+2*F505)/9)</f>
        <v>0</v>
      </c>
      <c r="K511" s="16"/>
    </row>
    <row r="512" spans="1:11" ht="15" customHeight="1">
      <c r="A512" s="64"/>
      <c r="B512" s="64"/>
      <c r="C512" s="64"/>
      <c r="D512" s="65"/>
      <c r="E512" s="66"/>
      <c r="F512" s="67"/>
      <c r="K512" s="16"/>
    </row>
    <row r="513" spans="1:11" ht="53.45" customHeight="1">
      <c r="A513" s="366">
        <v>42</v>
      </c>
      <c r="B513" s="255"/>
      <c r="C513" s="351"/>
      <c r="D513" s="392" t="s">
        <v>340</v>
      </c>
      <c r="E513" s="392"/>
      <c r="F513" s="143"/>
      <c r="K513" s="58"/>
    </row>
    <row r="514" spans="1:11" ht="33.6" customHeight="1">
      <c r="A514" s="367"/>
      <c r="B514" s="256"/>
      <c r="C514" s="352"/>
      <c r="D514" s="393" t="s">
        <v>341</v>
      </c>
      <c r="E514" s="394"/>
      <c r="F514" s="79">
        <v>900</v>
      </c>
      <c r="G514" s="15" t="s">
        <v>51</v>
      </c>
      <c r="J514" s="80"/>
      <c r="K514" s="16"/>
    </row>
    <row r="515" spans="1:11" ht="19.350000000000001" customHeight="1">
      <c r="A515" s="367"/>
      <c r="B515" s="256"/>
      <c r="C515" s="352"/>
      <c r="D515" s="375" t="s">
        <v>342</v>
      </c>
      <c r="E515" s="376"/>
      <c r="F515" s="79">
        <v>7650</v>
      </c>
      <c r="G515" s="15" t="s">
        <v>51</v>
      </c>
      <c r="J515" s="80"/>
      <c r="K515" s="16"/>
    </row>
    <row r="516" spans="1:11" ht="15.75" customHeight="1">
      <c r="A516" s="367"/>
      <c r="B516" s="256"/>
      <c r="C516" s="352"/>
      <c r="D516" s="393" t="s">
        <v>343</v>
      </c>
      <c r="E516" s="394"/>
      <c r="F516" s="161">
        <f>IF(F515&gt;0,F514/F515,0)</f>
        <v>0.11764705882352941</v>
      </c>
      <c r="J516" s="118"/>
      <c r="K516" s="16"/>
    </row>
    <row r="517" spans="1:11" ht="14.45" hidden="1" customHeight="1">
      <c r="A517" s="367"/>
      <c r="B517" s="256"/>
      <c r="C517" s="352"/>
      <c r="D517" s="89" t="s">
        <v>109</v>
      </c>
      <c r="E517" s="128">
        <v>0.2</v>
      </c>
      <c r="F517" s="155"/>
      <c r="J517" s="118"/>
      <c r="K517" s="16"/>
    </row>
    <row r="518" spans="1:11" ht="15.75" thickBot="1">
      <c r="A518" s="368"/>
      <c r="B518" s="257"/>
      <c r="C518" s="353"/>
      <c r="D518" s="403" t="s">
        <v>27</v>
      </c>
      <c r="E518" s="404"/>
      <c r="F518" s="63">
        <f>IF(F516&gt;=E517,4,4/E517*F516)</f>
        <v>2.3529411764705883</v>
      </c>
      <c r="K518" s="16"/>
    </row>
    <row r="519" spans="1:11" ht="15.75" thickBot="1">
      <c r="D519" s="95"/>
      <c r="E519" s="96"/>
      <c r="K519" s="95"/>
    </row>
    <row r="520" spans="1:11" ht="64.5" customHeight="1">
      <c r="A520" s="366">
        <v>43</v>
      </c>
      <c r="B520" s="255"/>
      <c r="C520" s="334" t="s">
        <v>344</v>
      </c>
      <c r="D520" s="369" t="s">
        <v>345</v>
      </c>
      <c r="E520" s="370"/>
      <c r="F520" s="57" t="s">
        <v>5</v>
      </c>
      <c r="G520" s="15" t="str">
        <f>IF(OR(ISBLANK(F520),F520&gt;4),"Salah isi","judge")</f>
        <v>Salah isi</v>
      </c>
      <c r="K520" s="58"/>
    </row>
    <row r="521" spans="1:11" ht="75">
      <c r="A521" s="367"/>
      <c r="B521" s="256"/>
      <c r="C521" s="325"/>
      <c r="D521" s="59">
        <v>4</v>
      </c>
      <c r="E521" s="60" t="s">
        <v>346</v>
      </c>
      <c r="F521" s="61"/>
      <c r="K521" s="16"/>
    </row>
    <row r="522" spans="1:11" ht="75">
      <c r="A522" s="367"/>
      <c r="B522" s="256"/>
      <c r="C522" s="325"/>
      <c r="D522" s="59">
        <v>3</v>
      </c>
      <c r="E522" s="60" t="s">
        <v>347</v>
      </c>
      <c r="F522" s="61"/>
      <c r="K522" s="16"/>
    </row>
    <row r="523" spans="1:11" ht="60">
      <c r="A523" s="367"/>
      <c r="B523" s="256"/>
      <c r="C523" s="325"/>
      <c r="D523" s="59">
        <v>2</v>
      </c>
      <c r="E523" s="60" t="s">
        <v>348</v>
      </c>
      <c r="F523" s="61"/>
      <c r="K523" s="16"/>
    </row>
    <row r="524" spans="1:11" ht="60">
      <c r="A524" s="367"/>
      <c r="B524" s="256"/>
      <c r="C524" s="325"/>
      <c r="D524" s="59">
        <v>1</v>
      </c>
      <c r="E524" s="60" t="s">
        <v>349</v>
      </c>
      <c r="F524" s="61"/>
      <c r="K524" s="16"/>
    </row>
    <row r="525" spans="1:11" ht="60">
      <c r="A525" s="367"/>
      <c r="B525" s="256"/>
      <c r="C525" s="325"/>
      <c r="D525" s="59">
        <v>0</v>
      </c>
      <c r="E525" s="60" t="s">
        <v>350</v>
      </c>
      <c r="F525" s="62"/>
      <c r="K525" s="16"/>
    </row>
    <row r="526" spans="1:11" ht="15" customHeight="1">
      <c r="A526" s="368"/>
      <c r="B526" s="257"/>
      <c r="C526" s="326"/>
      <c r="D526" s="371" t="s">
        <v>27</v>
      </c>
      <c r="E526" s="372"/>
      <c r="F526" s="63">
        <f>IF(G520="Salah isi",0,F520)</f>
        <v>0</v>
      </c>
      <c r="K526" s="16"/>
    </row>
    <row r="527" spans="1:11" ht="15" customHeight="1">
      <c r="A527" s="64"/>
      <c r="B527" s="64"/>
      <c r="C527" s="64"/>
      <c r="D527" s="65"/>
      <c r="E527" s="66"/>
      <c r="F527" s="67"/>
      <c r="K527" s="16"/>
    </row>
    <row r="528" spans="1:11" ht="78.75" customHeight="1">
      <c r="A528" s="366">
        <v>44</v>
      </c>
      <c r="B528" s="255"/>
      <c r="C528" s="334" t="s">
        <v>351</v>
      </c>
      <c r="D528" s="369" t="s">
        <v>352</v>
      </c>
      <c r="E528" s="409"/>
      <c r="F528" s="57" t="s">
        <v>5</v>
      </c>
      <c r="G528" s="15" t="str">
        <f>IF(OR(ISBLANK(F528),F528&gt;4),"Salah isi","judge")</f>
        <v>Salah isi</v>
      </c>
      <c r="K528" s="58"/>
    </row>
    <row r="529" spans="1:11" ht="45">
      <c r="A529" s="367"/>
      <c r="B529" s="256"/>
      <c r="C529" s="325"/>
      <c r="D529" s="68">
        <v>4</v>
      </c>
      <c r="E529" s="156" t="s">
        <v>353</v>
      </c>
      <c r="F529" s="70"/>
      <c r="K529" s="16"/>
    </row>
    <row r="530" spans="1:11" ht="45">
      <c r="A530" s="367"/>
      <c r="B530" s="256"/>
      <c r="C530" s="325"/>
      <c r="D530" s="68">
        <v>3</v>
      </c>
      <c r="E530" s="156" t="s">
        <v>354</v>
      </c>
      <c r="F530" s="70"/>
      <c r="K530" s="16"/>
    </row>
    <row r="531" spans="1:11" ht="30">
      <c r="A531" s="367"/>
      <c r="B531" s="256"/>
      <c r="C531" s="325"/>
      <c r="D531" s="68">
        <v>2</v>
      </c>
      <c r="E531" s="156" t="s">
        <v>355</v>
      </c>
      <c r="F531" s="70"/>
      <c r="K531" s="16"/>
    </row>
    <row r="532" spans="1:11" ht="30">
      <c r="A532" s="367"/>
      <c r="B532" s="256"/>
      <c r="C532" s="325"/>
      <c r="D532" s="68">
        <v>1</v>
      </c>
      <c r="E532" s="156" t="s">
        <v>356</v>
      </c>
      <c r="F532" s="70"/>
      <c r="K532" s="16"/>
    </row>
    <row r="533" spans="1:11" ht="30">
      <c r="A533" s="367"/>
      <c r="B533" s="256"/>
      <c r="C533" s="325"/>
      <c r="D533" s="68">
        <v>0</v>
      </c>
      <c r="E533" s="156" t="s">
        <v>357</v>
      </c>
      <c r="F533" s="71"/>
      <c r="K533" s="16"/>
    </row>
    <row r="534" spans="1:11" ht="97.5" customHeight="1">
      <c r="A534" s="367"/>
      <c r="B534" s="256"/>
      <c r="C534" s="325"/>
      <c r="D534" s="393" t="s">
        <v>358</v>
      </c>
      <c r="E534" s="414"/>
      <c r="F534" s="73" t="s">
        <v>5</v>
      </c>
      <c r="G534" s="15" t="str">
        <f>IF(OR(ISBLANK(F534),F534&gt;4),"Salah isi","judge")</f>
        <v>Salah isi</v>
      </c>
      <c r="K534" s="16"/>
    </row>
    <row r="535" spans="1:11" ht="45">
      <c r="A535" s="367"/>
      <c r="B535" s="256"/>
      <c r="C535" s="325"/>
      <c r="D535" s="68">
        <v>4</v>
      </c>
      <c r="E535" s="69" t="s">
        <v>359</v>
      </c>
      <c r="F535" s="70"/>
      <c r="G535" s="157"/>
      <c r="H535" s="157"/>
      <c r="I535" s="157"/>
      <c r="K535" s="16"/>
    </row>
    <row r="536" spans="1:11" ht="45">
      <c r="A536" s="367"/>
      <c r="B536" s="256"/>
      <c r="C536" s="325"/>
      <c r="D536" s="68">
        <v>3</v>
      </c>
      <c r="E536" s="69" t="s">
        <v>360</v>
      </c>
      <c r="F536" s="70"/>
      <c r="G536" s="157"/>
      <c r="H536" s="157"/>
      <c r="I536" s="157"/>
      <c r="K536" s="16"/>
    </row>
    <row r="537" spans="1:11" ht="45">
      <c r="A537" s="367"/>
      <c r="B537" s="256"/>
      <c r="C537" s="325"/>
      <c r="D537" s="68">
        <v>2</v>
      </c>
      <c r="E537" s="69" t="s">
        <v>361</v>
      </c>
      <c r="F537" s="70"/>
      <c r="G537" s="157"/>
      <c r="H537" s="157"/>
      <c r="I537" s="157"/>
      <c r="K537" s="16"/>
    </row>
    <row r="538" spans="1:11" ht="45">
      <c r="A538" s="367"/>
      <c r="B538" s="256"/>
      <c r="C538" s="325"/>
      <c r="D538" s="68">
        <v>1</v>
      </c>
      <c r="E538" s="69" t="s">
        <v>362</v>
      </c>
      <c r="F538" s="70"/>
      <c r="K538" s="16"/>
    </row>
    <row r="539" spans="1:11" ht="30" customHeight="1">
      <c r="A539" s="367"/>
      <c r="B539" s="256"/>
      <c r="C539" s="325"/>
      <c r="D539" s="68">
        <v>0</v>
      </c>
      <c r="E539" s="69" t="s">
        <v>363</v>
      </c>
      <c r="F539" s="71"/>
      <c r="K539" s="16"/>
    </row>
    <row r="540" spans="1:11" ht="187.5" customHeight="1">
      <c r="A540" s="367"/>
      <c r="B540" s="256"/>
      <c r="C540" s="325"/>
      <c r="D540" s="393" t="s">
        <v>364</v>
      </c>
      <c r="E540" s="414"/>
      <c r="F540" s="73" t="s">
        <v>5</v>
      </c>
      <c r="G540" s="15" t="str">
        <f>IF(OR(ISBLANK(F540),F540&gt;4),"Salah isi","judge")</f>
        <v>Salah isi</v>
      </c>
      <c r="K540" s="16"/>
    </row>
    <row r="541" spans="1:11" ht="45">
      <c r="A541" s="367"/>
      <c r="B541" s="256"/>
      <c r="C541" s="325"/>
      <c r="D541" s="68">
        <v>4</v>
      </c>
      <c r="E541" s="69" t="s">
        <v>359</v>
      </c>
      <c r="F541" s="70"/>
      <c r="G541" s="157"/>
      <c r="H541" s="157"/>
      <c r="I541" s="157"/>
      <c r="K541" s="16"/>
    </row>
    <row r="542" spans="1:11" ht="45">
      <c r="A542" s="367"/>
      <c r="B542" s="256"/>
      <c r="C542" s="325"/>
      <c r="D542" s="68">
        <v>3</v>
      </c>
      <c r="E542" s="69" t="s">
        <v>360</v>
      </c>
      <c r="F542" s="70"/>
      <c r="G542" s="157"/>
      <c r="H542" s="157"/>
      <c r="I542" s="157"/>
      <c r="K542" s="16"/>
    </row>
    <row r="543" spans="1:11" ht="45">
      <c r="A543" s="367"/>
      <c r="B543" s="256"/>
      <c r="C543" s="325"/>
      <c r="D543" s="68">
        <v>2</v>
      </c>
      <c r="E543" s="69" t="s">
        <v>361</v>
      </c>
      <c r="F543" s="70"/>
      <c r="G543" s="157"/>
      <c r="H543" s="157"/>
      <c r="I543" s="157"/>
      <c r="K543" s="16"/>
    </row>
    <row r="544" spans="1:11" ht="45">
      <c r="A544" s="367"/>
      <c r="B544" s="256"/>
      <c r="C544" s="325"/>
      <c r="D544" s="68">
        <v>1</v>
      </c>
      <c r="E544" s="69" t="s">
        <v>362</v>
      </c>
      <c r="F544" s="70"/>
      <c r="K544" s="16"/>
    </row>
    <row r="545" spans="1:11" ht="30" customHeight="1">
      <c r="A545" s="367"/>
      <c r="B545" s="256"/>
      <c r="C545" s="325"/>
      <c r="D545" s="68">
        <v>0</v>
      </c>
      <c r="E545" s="69" t="s">
        <v>363</v>
      </c>
      <c r="F545" s="71"/>
      <c r="K545" s="16"/>
    </row>
    <row r="546" spans="1:11" ht="39.75" hidden="1" customHeight="1">
      <c r="A546" s="367"/>
      <c r="B546" s="256"/>
      <c r="C546" s="325"/>
      <c r="D546" s="405"/>
      <c r="E546" s="415"/>
      <c r="F546" s="162"/>
      <c r="K546" s="16"/>
    </row>
    <row r="547" spans="1:11" ht="14.45" hidden="1" customHeight="1">
      <c r="A547" s="367"/>
      <c r="B547" s="256"/>
      <c r="C547" s="325"/>
      <c r="D547" s="163"/>
      <c r="E547" s="164"/>
      <c r="F547" s="165"/>
      <c r="K547" s="16"/>
    </row>
    <row r="548" spans="1:11" ht="14.45" hidden="1" customHeight="1">
      <c r="A548" s="367"/>
      <c r="B548" s="256"/>
      <c r="C548" s="325"/>
      <c r="D548" s="163"/>
      <c r="E548" s="164"/>
      <c r="F548" s="165"/>
      <c r="K548" s="16"/>
    </row>
    <row r="549" spans="1:11" ht="14.45" hidden="1" customHeight="1">
      <c r="A549" s="367"/>
      <c r="B549" s="256"/>
      <c r="C549" s="325"/>
      <c r="D549" s="163"/>
      <c r="E549" s="166"/>
      <c r="F549" s="167"/>
      <c r="K549" s="16"/>
    </row>
    <row r="550" spans="1:11" ht="14.45" hidden="1" customHeight="1">
      <c r="A550" s="367"/>
      <c r="B550" s="256"/>
      <c r="C550" s="325"/>
      <c r="D550" s="163"/>
      <c r="E550" s="168"/>
      <c r="F550" s="169"/>
      <c r="K550" s="16"/>
    </row>
    <row r="551" spans="1:11" ht="14.45" hidden="1" customHeight="1">
      <c r="A551" s="367"/>
      <c r="B551" s="256"/>
      <c r="C551" s="325"/>
      <c r="D551" s="163"/>
      <c r="E551" s="168"/>
      <c r="F551" s="169"/>
      <c r="K551" s="16"/>
    </row>
    <row r="552" spans="1:11" ht="39.75" hidden="1" customHeight="1">
      <c r="A552" s="367"/>
      <c r="B552" s="256"/>
      <c r="C552" s="325"/>
      <c r="D552" s="405"/>
      <c r="E552" s="415"/>
      <c r="F552" s="162"/>
      <c r="K552" s="16"/>
    </row>
    <row r="553" spans="1:11" ht="14.45" hidden="1" customHeight="1">
      <c r="A553" s="367"/>
      <c r="B553" s="256"/>
      <c r="C553" s="325"/>
      <c r="D553" s="163"/>
      <c r="E553" s="164"/>
      <c r="F553" s="165"/>
      <c r="K553" s="16"/>
    </row>
    <row r="554" spans="1:11" ht="14.45" hidden="1" customHeight="1">
      <c r="A554" s="367"/>
      <c r="B554" s="256"/>
      <c r="C554" s="325"/>
      <c r="D554" s="163"/>
      <c r="E554" s="164"/>
      <c r="F554" s="165"/>
      <c r="G554" s="157"/>
      <c r="H554" s="157"/>
      <c r="I554" s="157"/>
      <c r="K554" s="16"/>
    </row>
    <row r="555" spans="1:11" ht="14.45" hidden="1" customHeight="1">
      <c r="A555" s="367"/>
      <c r="B555" s="256"/>
      <c r="C555" s="325"/>
      <c r="D555" s="163"/>
      <c r="E555" s="164"/>
      <c r="F555" s="165"/>
      <c r="G555" s="157"/>
      <c r="H555" s="157"/>
      <c r="I555" s="157"/>
      <c r="K555" s="16"/>
    </row>
    <row r="556" spans="1:11" ht="14.45" hidden="1" customHeight="1">
      <c r="A556" s="367"/>
      <c r="B556" s="256"/>
      <c r="C556" s="325"/>
      <c r="D556" s="163"/>
      <c r="E556" s="164"/>
      <c r="F556" s="165"/>
      <c r="K556" s="16"/>
    </row>
    <row r="557" spans="1:11" ht="14.45" hidden="1" customHeight="1">
      <c r="A557" s="367"/>
      <c r="B557" s="256"/>
      <c r="C557" s="325"/>
      <c r="D557" s="163"/>
      <c r="E557" s="164"/>
      <c r="F557" s="106"/>
      <c r="K557" s="16"/>
    </row>
    <row r="558" spans="1:11" ht="15" customHeight="1" thickBot="1">
      <c r="A558" s="368"/>
      <c r="B558" s="257"/>
      <c r="C558" s="326"/>
      <c r="D558" s="371" t="s">
        <v>293</v>
      </c>
      <c r="E558" s="402"/>
      <c r="F558" s="63">
        <f>IF(OR(G528="Salah isi",G534="Salah isi",G540="Salah Isi"),0,(F528+2*F534+2*F540)/5)</f>
        <v>0</v>
      </c>
      <c r="K558" s="16"/>
    </row>
    <row r="559" spans="1:11" ht="15" customHeight="1" thickBot="1">
      <c r="A559" s="64"/>
      <c r="B559" s="64"/>
      <c r="C559" s="64"/>
      <c r="D559" s="65"/>
      <c r="E559" s="66"/>
      <c r="F559" s="67"/>
      <c r="K559" s="16"/>
    </row>
    <row r="560" spans="1:11" ht="53.45" customHeight="1">
      <c r="A560" s="366">
        <v>45</v>
      </c>
      <c r="B560" s="255"/>
      <c r="C560" s="334" t="s">
        <v>365</v>
      </c>
      <c r="D560" s="392" t="s">
        <v>366</v>
      </c>
      <c r="E560" s="392"/>
      <c r="F560" s="143"/>
      <c r="K560" s="58"/>
    </row>
    <row r="561" spans="1:11" ht="33.6" customHeight="1">
      <c r="A561" s="367"/>
      <c r="B561" s="256"/>
      <c r="C561" s="325"/>
      <c r="D561" s="393" t="s">
        <v>367</v>
      </c>
      <c r="E561" s="394"/>
      <c r="F561" s="79">
        <v>36</v>
      </c>
      <c r="G561" s="15" t="s">
        <v>51</v>
      </c>
      <c r="J561" s="80"/>
      <c r="K561" s="16"/>
    </row>
    <row r="562" spans="1:11" ht="30.6" hidden="1" customHeight="1">
      <c r="A562" s="367"/>
      <c r="B562" s="256"/>
      <c r="C562" s="325"/>
      <c r="D562" s="170"/>
      <c r="E562" s="170"/>
      <c r="F562" s="171"/>
      <c r="J562" s="80"/>
      <c r="K562" s="16"/>
    </row>
    <row r="563" spans="1:11" ht="14.45" hidden="1" customHeight="1">
      <c r="A563" s="367"/>
      <c r="B563" s="256"/>
      <c r="C563" s="325"/>
      <c r="D563" s="170"/>
      <c r="E563" s="170"/>
      <c r="F563" s="171"/>
      <c r="J563" s="80"/>
      <c r="K563" s="16"/>
    </row>
    <row r="564" spans="1:11" ht="14.45" hidden="1" customHeight="1">
      <c r="A564" s="367"/>
      <c r="B564" s="256"/>
      <c r="C564" s="325"/>
      <c r="D564" s="83"/>
      <c r="E564" s="141"/>
      <c r="F564" s="172"/>
      <c r="J564" s="118"/>
      <c r="K564" s="16"/>
    </row>
    <row r="565" spans="1:11" ht="14.45" hidden="1" customHeight="1">
      <c r="A565" s="367"/>
      <c r="B565" s="256"/>
      <c r="C565" s="325"/>
      <c r="D565" s="83"/>
      <c r="E565" s="141"/>
      <c r="F565" s="172"/>
      <c r="J565" s="118"/>
      <c r="K565" s="16"/>
    </row>
    <row r="566" spans="1:11" ht="15.75" thickBot="1">
      <c r="A566" s="368"/>
      <c r="B566" s="257"/>
      <c r="C566" s="326"/>
      <c r="D566" s="403" t="s">
        <v>27</v>
      </c>
      <c r="E566" s="404"/>
      <c r="F566" s="63">
        <f>IF(F561&gt;3,4,IF(F561&gt;=2,3,2))</f>
        <v>4</v>
      </c>
      <c r="K566" s="16"/>
    </row>
    <row r="567" spans="1:11" ht="15.75" thickBot="1">
      <c r="D567" s="95"/>
      <c r="E567" s="96"/>
      <c r="K567" s="95"/>
    </row>
    <row r="568" spans="1:11" ht="65.099999999999994" customHeight="1">
      <c r="A568" s="366">
        <v>46</v>
      </c>
      <c r="B568" s="255"/>
      <c r="C568" s="334" t="s">
        <v>368</v>
      </c>
      <c r="D568" s="369" t="s">
        <v>369</v>
      </c>
      <c r="E568" s="370"/>
      <c r="F568" s="57" t="s">
        <v>5</v>
      </c>
      <c r="G568" s="15" t="str">
        <f>IF(OR(F568&lt;1,F568&gt;4),"Salah isi","judge")</f>
        <v>Salah isi</v>
      </c>
      <c r="K568" s="58"/>
    </row>
    <row r="569" spans="1:11">
      <c r="A569" s="367"/>
      <c r="B569" s="256"/>
      <c r="C569" s="325"/>
      <c r="D569" s="59">
        <v>4</v>
      </c>
      <c r="E569" s="60" t="s">
        <v>370</v>
      </c>
      <c r="F569" s="61"/>
      <c r="K569" s="16"/>
    </row>
    <row r="570" spans="1:11" ht="30">
      <c r="A570" s="367"/>
      <c r="B570" s="256"/>
      <c r="C570" s="325"/>
      <c r="D570" s="59">
        <v>3</v>
      </c>
      <c r="E570" s="60" t="s">
        <v>371</v>
      </c>
      <c r="F570" s="61"/>
      <c r="K570" s="16"/>
    </row>
    <row r="571" spans="1:11" ht="30">
      <c r="A571" s="367"/>
      <c r="B571" s="256"/>
      <c r="C571" s="325"/>
      <c r="D571" s="59">
        <v>2</v>
      </c>
      <c r="E571" s="60" t="s">
        <v>372</v>
      </c>
      <c r="F571" s="61"/>
      <c r="K571" s="16"/>
    </row>
    <row r="572" spans="1:11" ht="30">
      <c r="A572" s="367"/>
      <c r="B572" s="256"/>
      <c r="C572" s="325"/>
      <c r="D572" s="59">
        <v>1</v>
      </c>
      <c r="E572" s="60" t="s">
        <v>373</v>
      </c>
      <c r="F572" s="61"/>
      <c r="K572" s="16"/>
    </row>
    <row r="573" spans="1:11">
      <c r="A573" s="367"/>
      <c r="B573" s="256"/>
      <c r="C573" s="325"/>
      <c r="D573" s="59">
        <v>0</v>
      </c>
      <c r="E573" s="60" t="s">
        <v>30</v>
      </c>
      <c r="F573" s="62"/>
      <c r="K573" s="16"/>
    </row>
    <row r="574" spans="1:11" ht="15" customHeight="1">
      <c r="A574" s="368"/>
      <c r="B574" s="257"/>
      <c r="C574" s="326"/>
      <c r="D574" s="371" t="s">
        <v>27</v>
      </c>
      <c r="E574" s="372"/>
      <c r="F574" s="63">
        <f>IF(G568="Salah isi",0,F568)</f>
        <v>0</v>
      </c>
      <c r="K574" s="16"/>
    </row>
    <row r="575" spans="1:11" ht="15" customHeight="1">
      <c r="A575" s="64"/>
      <c r="B575" s="64"/>
      <c r="C575" s="64"/>
      <c r="D575" s="65"/>
      <c r="E575" s="66"/>
      <c r="F575" s="67"/>
      <c r="K575" s="16"/>
    </row>
    <row r="576" spans="1:11" ht="205.5" customHeight="1">
      <c r="A576" s="366">
        <v>47</v>
      </c>
      <c r="B576" s="255"/>
      <c r="C576" s="334" t="s">
        <v>374</v>
      </c>
      <c r="D576" s="369" t="s">
        <v>375</v>
      </c>
      <c r="E576" s="409"/>
      <c r="F576" s="98"/>
      <c r="K576" s="58"/>
    </row>
    <row r="577" spans="1:11" ht="15.75" customHeight="1">
      <c r="A577" s="367"/>
      <c r="B577" s="256"/>
      <c r="C577" s="325"/>
      <c r="D577" s="342" t="s">
        <v>376</v>
      </c>
      <c r="E577" s="173" t="s">
        <v>377</v>
      </c>
      <c r="F577" s="174">
        <v>0.46</v>
      </c>
      <c r="G577" s="15" t="s">
        <v>51</v>
      </c>
      <c r="K577" s="16"/>
    </row>
    <row r="578" spans="1:11" ht="15" customHeight="1">
      <c r="A578" s="367"/>
      <c r="B578" s="256"/>
      <c r="C578" s="325"/>
      <c r="D578" s="343"/>
      <c r="E578" s="173" t="s">
        <v>378</v>
      </c>
      <c r="F578" s="174">
        <v>0.37</v>
      </c>
      <c r="G578" s="15" t="s">
        <v>51</v>
      </c>
      <c r="K578" s="16"/>
    </row>
    <row r="579" spans="1:11" ht="15" customHeight="1">
      <c r="A579" s="367"/>
      <c r="B579" s="256"/>
      <c r="C579" s="325"/>
      <c r="D579" s="343"/>
      <c r="E579" s="173" t="s">
        <v>379</v>
      </c>
      <c r="F579" s="174">
        <v>0.17</v>
      </c>
      <c r="G579" s="15" t="s">
        <v>51</v>
      </c>
      <c r="K579" s="16"/>
    </row>
    <row r="580" spans="1:11" ht="15" customHeight="1">
      <c r="A580" s="367"/>
      <c r="B580" s="256"/>
      <c r="C580" s="325"/>
      <c r="D580" s="343"/>
      <c r="E580" s="173" t="s">
        <v>380</v>
      </c>
      <c r="F580" s="174">
        <v>0</v>
      </c>
      <c r="G580" s="15" t="s">
        <v>51</v>
      </c>
      <c r="K580" s="16"/>
    </row>
    <row r="581" spans="1:11" ht="15" customHeight="1">
      <c r="A581" s="367"/>
      <c r="B581" s="256"/>
      <c r="C581" s="325"/>
      <c r="D581" s="344"/>
      <c r="E581" s="175" t="s">
        <v>381</v>
      </c>
      <c r="F581" s="127">
        <f>IF((4*F577+3*F578+2*F579+F580)/4&gt;100%,0,(4*F577+3*F578+2*F579+F580)/4)</f>
        <v>0.82250000000000001</v>
      </c>
      <c r="K581" s="16"/>
    </row>
    <row r="582" spans="1:11" ht="15.75" customHeight="1">
      <c r="A582" s="367"/>
      <c r="B582" s="256"/>
      <c r="C582" s="325"/>
      <c r="D582" s="342" t="s">
        <v>382</v>
      </c>
      <c r="E582" s="173" t="s">
        <v>377</v>
      </c>
      <c r="F582" s="174">
        <v>0.51</v>
      </c>
      <c r="G582" s="15" t="s">
        <v>51</v>
      </c>
      <c r="K582" s="16"/>
    </row>
    <row r="583" spans="1:11" ht="15" customHeight="1">
      <c r="A583" s="367"/>
      <c r="B583" s="256"/>
      <c r="C583" s="325"/>
      <c r="D583" s="343"/>
      <c r="E583" s="173" t="s">
        <v>378</v>
      </c>
      <c r="F583" s="174">
        <v>0.32</v>
      </c>
      <c r="G583" s="15" t="s">
        <v>51</v>
      </c>
      <c r="K583" s="16"/>
    </row>
    <row r="584" spans="1:11" ht="15" customHeight="1">
      <c r="A584" s="367"/>
      <c r="B584" s="256"/>
      <c r="C584" s="325"/>
      <c r="D584" s="343"/>
      <c r="E584" s="173" t="s">
        <v>379</v>
      </c>
      <c r="F584" s="174">
        <v>0.16</v>
      </c>
      <c r="G584" s="15" t="s">
        <v>51</v>
      </c>
      <c r="K584" s="16"/>
    </row>
    <row r="585" spans="1:11" ht="15" customHeight="1">
      <c r="A585" s="367"/>
      <c r="B585" s="256"/>
      <c r="C585" s="325"/>
      <c r="D585" s="343"/>
      <c r="E585" s="173" t="s">
        <v>380</v>
      </c>
      <c r="F585" s="174">
        <v>0.01</v>
      </c>
      <c r="G585" s="15" t="s">
        <v>51</v>
      </c>
      <c r="K585" s="16"/>
    </row>
    <row r="586" spans="1:11" ht="15" customHeight="1">
      <c r="A586" s="367"/>
      <c r="B586" s="256"/>
      <c r="C586" s="325"/>
      <c r="D586" s="344"/>
      <c r="E586" s="175" t="s">
        <v>383</v>
      </c>
      <c r="F586" s="127">
        <f>IF((4*F582+3*F583+2*F584+F585)/4&gt;100%,0,(4*F582+3*F583+2*F584+F585)/4)</f>
        <v>0.83249999999999991</v>
      </c>
      <c r="K586" s="16"/>
    </row>
    <row r="587" spans="1:11" ht="15.75" customHeight="1">
      <c r="A587" s="367"/>
      <c r="B587" s="256"/>
      <c r="C587" s="325"/>
      <c r="D587" s="342" t="s">
        <v>384</v>
      </c>
      <c r="E587" s="173" t="s">
        <v>377</v>
      </c>
      <c r="F587" s="174">
        <v>0.53</v>
      </c>
      <c r="G587" s="15" t="s">
        <v>51</v>
      </c>
      <c r="K587" s="16"/>
    </row>
    <row r="588" spans="1:11" ht="15" customHeight="1">
      <c r="A588" s="367"/>
      <c r="B588" s="256"/>
      <c r="C588" s="325"/>
      <c r="D588" s="343"/>
      <c r="E588" s="173" t="s">
        <v>378</v>
      </c>
      <c r="F588" s="174">
        <v>0.31</v>
      </c>
      <c r="G588" s="15" t="s">
        <v>51</v>
      </c>
      <c r="K588" s="16"/>
    </row>
    <row r="589" spans="1:11" ht="15" customHeight="1">
      <c r="A589" s="367"/>
      <c r="B589" s="256"/>
      <c r="C589" s="325"/>
      <c r="D589" s="343"/>
      <c r="E589" s="173" t="s">
        <v>379</v>
      </c>
      <c r="F589" s="174">
        <v>0.15</v>
      </c>
      <c r="G589" s="15" t="s">
        <v>51</v>
      </c>
      <c r="K589" s="16"/>
    </row>
    <row r="590" spans="1:11" ht="15" customHeight="1">
      <c r="A590" s="367"/>
      <c r="B590" s="256"/>
      <c r="C590" s="325"/>
      <c r="D590" s="343"/>
      <c r="E590" s="173" t="s">
        <v>380</v>
      </c>
      <c r="F590" s="174">
        <v>0.01</v>
      </c>
      <c r="G590" s="15" t="s">
        <v>51</v>
      </c>
      <c r="K590" s="16"/>
    </row>
    <row r="591" spans="1:11" ht="15" customHeight="1">
      <c r="A591" s="367"/>
      <c r="B591" s="256"/>
      <c r="C591" s="325"/>
      <c r="D591" s="344"/>
      <c r="E591" s="175" t="s">
        <v>385</v>
      </c>
      <c r="F591" s="127">
        <f>IF((4*F587+3*F588+2*F589+F590)/4&gt;100%,0,(4*F587+3*F588+2*F589+F590)/4)</f>
        <v>0.83999999999999986</v>
      </c>
      <c r="K591" s="16"/>
    </row>
    <row r="592" spans="1:11" ht="15.75" customHeight="1">
      <c r="A592" s="367"/>
      <c r="B592" s="256"/>
      <c r="C592" s="325"/>
      <c r="D592" s="345" t="s">
        <v>386</v>
      </c>
      <c r="E592" s="173" t="s">
        <v>377</v>
      </c>
      <c r="F592" s="174">
        <v>0.43</v>
      </c>
      <c r="G592" s="15" t="s">
        <v>51</v>
      </c>
      <c r="K592" s="16"/>
    </row>
    <row r="593" spans="1:11" ht="15" customHeight="1">
      <c r="A593" s="367"/>
      <c r="B593" s="256"/>
      <c r="C593" s="325"/>
      <c r="D593" s="346"/>
      <c r="E593" s="173" t="s">
        <v>378</v>
      </c>
      <c r="F593" s="174">
        <v>0.36</v>
      </c>
      <c r="G593" s="15" t="s">
        <v>51</v>
      </c>
      <c r="K593" s="16"/>
    </row>
    <row r="594" spans="1:11" ht="15" customHeight="1">
      <c r="A594" s="367"/>
      <c r="B594" s="256"/>
      <c r="C594" s="325"/>
      <c r="D594" s="346"/>
      <c r="E594" s="173" t="s">
        <v>379</v>
      </c>
      <c r="F594" s="174">
        <v>0.15</v>
      </c>
      <c r="G594" s="15" t="s">
        <v>51</v>
      </c>
      <c r="K594" s="16"/>
    </row>
    <row r="595" spans="1:11" ht="15" customHeight="1">
      <c r="A595" s="367"/>
      <c r="B595" s="256"/>
      <c r="C595" s="325"/>
      <c r="D595" s="346"/>
      <c r="E595" s="173" t="s">
        <v>380</v>
      </c>
      <c r="F595" s="174">
        <v>0.06</v>
      </c>
      <c r="G595" s="15" t="s">
        <v>51</v>
      </c>
      <c r="K595" s="16"/>
    </row>
    <row r="596" spans="1:11" ht="15" customHeight="1">
      <c r="A596" s="367"/>
      <c r="B596" s="256"/>
      <c r="C596" s="325"/>
      <c r="D596" s="347"/>
      <c r="E596" s="175" t="s">
        <v>387</v>
      </c>
      <c r="F596" s="127">
        <f>IF((4*F592+3*F593+2*F594+F595)/4&gt;100%,0,(4*F592+3*F593+2*F594+F595)/4)</f>
        <v>0.78999999999999992</v>
      </c>
      <c r="K596" s="16"/>
    </row>
    <row r="597" spans="1:11" ht="15.75" customHeight="1">
      <c r="A597" s="367"/>
      <c r="B597" s="256"/>
      <c r="C597" s="325"/>
      <c r="D597" s="342" t="s">
        <v>388</v>
      </c>
      <c r="E597" s="173" t="s">
        <v>377</v>
      </c>
      <c r="F597" s="174">
        <v>0.42</v>
      </c>
      <c r="G597" s="15" t="s">
        <v>51</v>
      </c>
      <c r="K597" s="16"/>
    </row>
    <row r="598" spans="1:11" ht="15" customHeight="1">
      <c r="A598" s="367"/>
      <c r="B598" s="256"/>
      <c r="C598" s="325"/>
      <c r="D598" s="343"/>
      <c r="E598" s="173" t="s">
        <v>378</v>
      </c>
      <c r="F598" s="174">
        <v>0.36</v>
      </c>
      <c r="G598" s="15" t="s">
        <v>51</v>
      </c>
      <c r="K598" s="16"/>
    </row>
    <row r="599" spans="1:11" ht="15" customHeight="1">
      <c r="A599" s="367"/>
      <c r="B599" s="256"/>
      <c r="C599" s="325"/>
      <c r="D599" s="343"/>
      <c r="E599" s="173" t="s">
        <v>379</v>
      </c>
      <c r="F599" s="174">
        <v>0.17</v>
      </c>
      <c r="G599" s="15" t="s">
        <v>51</v>
      </c>
      <c r="K599" s="16"/>
    </row>
    <row r="600" spans="1:11" ht="15" customHeight="1">
      <c r="A600" s="367"/>
      <c r="B600" s="256"/>
      <c r="C600" s="325"/>
      <c r="D600" s="343"/>
      <c r="E600" s="173" t="s">
        <v>380</v>
      </c>
      <c r="F600" s="174">
        <v>0.05</v>
      </c>
      <c r="G600" s="15" t="s">
        <v>51</v>
      </c>
      <c r="K600" s="16"/>
    </row>
    <row r="601" spans="1:11" ht="15" customHeight="1">
      <c r="A601" s="367"/>
      <c r="B601" s="256"/>
      <c r="C601" s="325"/>
      <c r="D601" s="344"/>
      <c r="E601" s="175" t="s">
        <v>389</v>
      </c>
      <c r="F601" s="127">
        <f>IF((4*F597+3*F598+2*F599+F600)/4&gt;100%,0,(4*F597+3*F598+2*F599+F600)/4)</f>
        <v>0.78749999999999987</v>
      </c>
      <c r="K601" s="16"/>
    </row>
    <row r="602" spans="1:11">
      <c r="A602" s="367"/>
      <c r="B602" s="256"/>
      <c r="C602" s="325"/>
      <c r="D602" s="411" t="s">
        <v>390</v>
      </c>
      <c r="E602" s="412"/>
      <c r="F602" s="176">
        <f>(F581+F586+F591+F596+F601)/5</f>
        <v>0.8145</v>
      </c>
      <c r="K602" s="16"/>
    </row>
    <row r="603" spans="1:11" ht="14.45" hidden="1" customHeight="1">
      <c r="A603" s="367"/>
      <c r="B603" s="256"/>
      <c r="C603" s="325"/>
      <c r="D603" s="177" t="s">
        <v>142</v>
      </c>
      <c r="E603" s="178">
        <v>0.25</v>
      </c>
      <c r="F603" s="179"/>
      <c r="K603" s="16"/>
    </row>
    <row r="604" spans="1:11" ht="14.45" hidden="1" customHeight="1">
      <c r="A604" s="367"/>
      <c r="B604" s="256"/>
      <c r="C604" s="325"/>
      <c r="D604" s="177" t="s">
        <v>143</v>
      </c>
      <c r="E604" s="178">
        <v>0.75</v>
      </c>
      <c r="F604" s="179"/>
      <c r="K604" s="16"/>
    </row>
    <row r="605" spans="1:11" ht="15" customHeight="1">
      <c r="A605" s="367"/>
      <c r="B605" s="256"/>
      <c r="C605" s="325"/>
      <c r="D605" s="393" t="s">
        <v>60</v>
      </c>
      <c r="E605" s="394"/>
      <c r="F605" s="180">
        <f>IF(F602&gt;=E604,4,IF(F602&gt;=E603,4/(E604-E603)*(F602-E603),0))</f>
        <v>4</v>
      </c>
      <c r="K605" s="16"/>
    </row>
    <row r="606" spans="1:11" ht="34.35" customHeight="1">
      <c r="A606" s="367"/>
      <c r="B606" s="256"/>
      <c r="C606" s="325"/>
      <c r="D606" s="413" t="s">
        <v>391</v>
      </c>
      <c r="E606" s="414"/>
      <c r="F606" s="73" t="s">
        <v>5</v>
      </c>
      <c r="G606" s="15" t="str">
        <f>IF(OR(ISBLANK(F606),F606&gt;4),"Salah isi","judge")</f>
        <v>Salah isi</v>
      </c>
      <c r="K606" s="16"/>
    </row>
    <row r="607" spans="1:11" ht="60">
      <c r="A607" s="367"/>
      <c r="B607" s="256"/>
      <c r="C607" s="325"/>
      <c r="D607" s="68">
        <v>4</v>
      </c>
      <c r="E607" s="69" t="s">
        <v>392</v>
      </c>
      <c r="F607" s="70"/>
      <c r="G607" s="157"/>
      <c r="H607" s="157"/>
      <c r="I607" s="157"/>
      <c r="K607" s="16"/>
    </row>
    <row r="608" spans="1:11" ht="60">
      <c r="A608" s="367"/>
      <c r="B608" s="256"/>
      <c r="C608" s="325"/>
      <c r="D608" s="68">
        <v>3</v>
      </c>
      <c r="E608" s="69" t="s">
        <v>393</v>
      </c>
      <c r="F608" s="70"/>
      <c r="G608" s="157"/>
      <c r="H608" s="157"/>
      <c r="I608" s="157"/>
      <c r="K608" s="16"/>
    </row>
    <row r="609" spans="1:11" ht="30">
      <c r="A609" s="367"/>
      <c r="B609" s="256"/>
      <c r="C609" s="325"/>
      <c r="D609" s="68">
        <v>2</v>
      </c>
      <c r="E609" s="69" t="s">
        <v>394</v>
      </c>
      <c r="F609" s="70"/>
      <c r="G609" s="157"/>
      <c r="H609" s="157"/>
      <c r="I609" s="157"/>
      <c r="K609" s="16"/>
    </row>
    <row r="610" spans="1:11" ht="45">
      <c r="A610" s="367"/>
      <c r="B610" s="256"/>
      <c r="C610" s="325"/>
      <c r="D610" s="68">
        <v>1</v>
      </c>
      <c r="E610" s="69" t="s">
        <v>395</v>
      </c>
      <c r="F610" s="70"/>
      <c r="G610" s="157"/>
      <c r="H610" s="157"/>
      <c r="I610" s="157"/>
      <c r="K610" s="16"/>
    </row>
    <row r="611" spans="1:11" ht="30">
      <c r="A611" s="367"/>
      <c r="B611" s="256"/>
      <c r="C611" s="325"/>
      <c r="D611" s="68">
        <v>0</v>
      </c>
      <c r="E611" s="69" t="s">
        <v>396</v>
      </c>
      <c r="F611" s="71"/>
      <c r="G611" s="157"/>
      <c r="H611" s="157"/>
      <c r="I611" s="157"/>
      <c r="K611" s="16"/>
    </row>
    <row r="612" spans="1:11">
      <c r="A612" s="367"/>
      <c r="B612" s="256"/>
      <c r="C612" s="325"/>
      <c r="D612" s="393" t="s">
        <v>70</v>
      </c>
      <c r="E612" s="394"/>
      <c r="F612" s="180" t="str">
        <f>F606</f>
        <v xml:space="preserve"> </v>
      </c>
      <c r="K612" s="16"/>
    </row>
    <row r="613" spans="1:11" ht="15" customHeight="1">
      <c r="A613" s="368"/>
      <c r="B613" s="257"/>
      <c r="C613" s="326"/>
      <c r="D613" s="371" t="s">
        <v>31</v>
      </c>
      <c r="E613" s="402"/>
      <c r="F613" s="63">
        <f>IF(G606="Salah isi",0,(F605+2*F612)/3)</f>
        <v>0</v>
      </c>
      <c r="K613" s="16"/>
    </row>
    <row r="614" spans="1:11" ht="15" customHeight="1">
      <c r="A614" s="64"/>
      <c r="B614" s="64"/>
      <c r="C614" s="64"/>
      <c r="D614" s="65"/>
      <c r="E614" s="66"/>
      <c r="F614" s="67"/>
      <c r="K614" s="16"/>
    </row>
    <row r="615" spans="1:11" ht="160.5" customHeight="1">
      <c r="A615" s="366">
        <v>48</v>
      </c>
      <c r="B615" s="255"/>
      <c r="C615" s="334" t="s">
        <v>397</v>
      </c>
      <c r="D615" s="369" t="s">
        <v>398</v>
      </c>
      <c r="E615" s="409"/>
      <c r="F615" s="57" t="s">
        <v>5</v>
      </c>
      <c r="G615" s="15" t="str">
        <f>IF(OR(ISBLANK(F615),F615&gt;4),"Salah isi","judge")</f>
        <v>Salah isi</v>
      </c>
      <c r="K615" s="58"/>
    </row>
    <row r="616" spans="1:11" ht="30">
      <c r="A616" s="367"/>
      <c r="B616" s="256"/>
      <c r="C616" s="325"/>
      <c r="D616" s="68">
        <v>4</v>
      </c>
      <c r="E616" s="156" t="s">
        <v>399</v>
      </c>
      <c r="F616" s="70"/>
      <c r="K616" s="16"/>
    </row>
    <row r="617" spans="1:11" ht="30">
      <c r="A617" s="367"/>
      <c r="B617" s="256"/>
      <c r="C617" s="325"/>
      <c r="D617" s="68">
        <v>3</v>
      </c>
      <c r="E617" s="156" t="s">
        <v>400</v>
      </c>
      <c r="F617" s="70"/>
      <c r="K617" s="16"/>
    </row>
    <row r="618" spans="1:11" ht="30">
      <c r="A618" s="367"/>
      <c r="B618" s="256"/>
      <c r="C618" s="325"/>
      <c r="D618" s="68">
        <v>2</v>
      </c>
      <c r="E618" s="156" t="s">
        <v>401</v>
      </c>
      <c r="F618" s="70"/>
      <c r="K618" s="16"/>
    </row>
    <row r="619" spans="1:11" ht="30">
      <c r="A619" s="367"/>
      <c r="B619" s="256"/>
      <c r="C619" s="325"/>
      <c r="D619" s="68">
        <v>1</v>
      </c>
      <c r="E619" s="156" t="s">
        <v>402</v>
      </c>
      <c r="F619" s="70"/>
      <c r="K619" s="16"/>
    </row>
    <row r="620" spans="1:11" ht="30">
      <c r="A620" s="367"/>
      <c r="B620" s="256"/>
      <c r="C620" s="325"/>
      <c r="D620" s="68">
        <v>0</v>
      </c>
      <c r="E620" s="74" t="s">
        <v>403</v>
      </c>
      <c r="F620" s="71"/>
      <c r="K620" s="16"/>
    </row>
    <row r="621" spans="1:11" ht="15" customHeight="1">
      <c r="A621" s="368"/>
      <c r="B621" s="257"/>
      <c r="C621" s="326"/>
      <c r="D621" s="371" t="s">
        <v>27</v>
      </c>
      <c r="E621" s="402"/>
      <c r="F621" s="63">
        <f>IF(G615="Salah isi",0,F615)</f>
        <v>0</v>
      </c>
      <c r="K621" s="16"/>
    </row>
    <row r="622" spans="1:11" ht="15" customHeight="1">
      <c r="A622" s="64"/>
      <c r="B622" s="64"/>
      <c r="C622" s="64"/>
      <c r="D622" s="65"/>
      <c r="E622" s="66"/>
      <c r="F622" s="67"/>
      <c r="K622" s="16"/>
    </row>
    <row r="623" spans="1:11" ht="44.45" customHeight="1">
      <c r="A623" s="357">
        <v>49</v>
      </c>
      <c r="B623" s="261"/>
      <c r="C623" s="317" t="s">
        <v>404</v>
      </c>
      <c r="D623" s="392" t="s">
        <v>405</v>
      </c>
      <c r="E623" s="392"/>
      <c r="F623" s="143"/>
      <c r="K623" s="58"/>
    </row>
    <row r="624" spans="1:11" ht="34.5" customHeight="1">
      <c r="A624" s="358"/>
      <c r="B624" s="262"/>
      <c r="C624" s="318"/>
      <c r="D624" s="393" t="s">
        <v>406</v>
      </c>
      <c r="E624" s="394"/>
      <c r="F624" s="79">
        <v>5</v>
      </c>
      <c r="G624" s="15" t="s">
        <v>51</v>
      </c>
      <c r="J624" s="80"/>
      <c r="K624" s="16"/>
    </row>
    <row r="625" spans="1:11">
      <c r="A625" s="358"/>
      <c r="B625" s="262"/>
      <c r="C625" s="318"/>
      <c r="D625" s="375" t="s">
        <v>407</v>
      </c>
      <c r="E625" s="376"/>
      <c r="F625" s="79">
        <v>18</v>
      </c>
      <c r="G625" s="15" t="s">
        <v>51</v>
      </c>
      <c r="J625" s="80"/>
      <c r="K625" s="16"/>
    </row>
    <row r="626" spans="1:11">
      <c r="A626" s="358"/>
      <c r="B626" s="262"/>
      <c r="C626" s="318"/>
      <c r="D626" s="393" t="s">
        <v>408</v>
      </c>
      <c r="E626" s="394"/>
      <c r="F626" s="127">
        <f>IF(F625&gt;0,F624/F625,0)</f>
        <v>0.27777777777777779</v>
      </c>
      <c r="J626" s="80"/>
      <c r="K626" s="16"/>
    </row>
    <row r="627" spans="1:11" ht="14.45" hidden="1" customHeight="1">
      <c r="A627" s="358"/>
      <c r="B627" s="262"/>
      <c r="C627" s="318"/>
      <c r="D627" s="89" t="s">
        <v>109</v>
      </c>
      <c r="E627" s="128">
        <v>0.25</v>
      </c>
      <c r="F627" s="129"/>
      <c r="J627" s="118"/>
      <c r="K627" s="16"/>
    </row>
    <row r="628" spans="1:11" ht="15.75" thickBot="1">
      <c r="A628" s="359"/>
      <c r="B628" s="263"/>
      <c r="C628" s="319"/>
      <c r="D628" s="403" t="s">
        <v>27</v>
      </c>
      <c r="E628" s="404"/>
      <c r="F628" s="63">
        <f>IF(F626&gt;=E627,4,2+2/E627*F626)</f>
        <v>4</v>
      </c>
      <c r="K628" s="16"/>
    </row>
    <row r="629" spans="1:11" ht="15.75" thickBot="1">
      <c r="D629" s="95"/>
      <c r="E629" s="96"/>
      <c r="K629" s="95"/>
    </row>
    <row r="630" spans="1:11" ht="45" hidden="1" customHeight="1">
      <c r="A630" s="363"/>
      <c r="B630" s="264"/>
      <c r="C630" s="331"/>
      <c r="D630" s="410"/>
      <c r="E630" s="410"/>
      <c r="F630" s="181"/>
      <c r="K630" s="58"/>
    </row>
    <row r="631" spans="1:11" ht="31.5" hidden="1" customHeight="1">
      <c r="A631" s="364"/>
      <c r="B631" s="265"/>
      <c r="C631" s="332"/>
      <c r="D631" s="405"/>
      <c r="E631" s="406"/>
      <c r="F631" s="131"/>
      <c r="J631" s="80"/>
      <c r="K631" s="16"/>
    </row>
    <row r="632" spans="1:11" ht="15" hidden="1" customHeight="1">
      <c r="A632" s="364"/>
      <c r="B632" s="265"/>
      <c r="C632" s="332"/>
      <c r="D632" s="384"/>
      <c r="E632" s="385"/>
      <c r="F632" s="131"/>
      <c r="J632" s="80"/>
      <c r="K632" s="16"/>
    </row>
    <row r="633" spans="1:11" ht="15" hidden="1" customHeight="1">
      <c r="A633" s="364"/>
      <c r="B633" s="265"/>
      <c r="C633" s="332"/>
      <c r="D633" s="405"/>
      <c r="E633" s="406"/>
      <c r="F633" s="132"/>
      <c r="J633" s="80"/>
      <c r="K633" s="16"/>
    </row>
    <row r="634" spans="1:11" ht="15" hidden="1" customHeight="1">
      <c r="A634" s="364"/>
      <c r="B634" s="265"/>
      <c r="C634" s="332"/>
      <c r="D634" s="89"/>
      <c r="E634" s="128"/>
      <c r="F634" s="129"/>
      <c r="J634" s="118"/>
      <c r="K634" s="16"/>
    </row>
    <row r="635" spans="1:11" ht="15" hidden="1" customHeight="1">
      <c r="A635" s="365"/>
      <c r="B635" s="266"/>
      <c r="C635" s="333"/>
      <c r="D635" s="407"/>
      <c r="E635" s="408"/>
      <c r="F635" s="133"/>
      <c r="K635" s="16"/>
    </row>
    <row r="636" spans="1:11" ht="15" hidden="1" customHeight="1">
      <c r="D636" s="95"/>
      <c r="E636" s="96"/>
      <c r="K636" s="95"/>
    </row>
    <row r="637" spans="1:11" ht="148.5" customHeight="1">
      <c r="A637" s="366">
        <v>50</v>
      </c>
      <c r="B637" s="255"/>
      <c r="C637" s="334" t="s">
        <v>409</v>
      </c>
      <c r="D637" s="369" t="s">
        <v>410</v>
      </c>
      <c r="E637" s="370"/>
      <c r="F637" s="57" t="s">
        <v>5</v>
      </c>
      <c r="G637" s="15" t="str">
        <f>IF(OR(ISBLANK(F637),F637&gt;4),"Salah isi","judge")</f>
        <v>Salah isi</v>
      </c>
      <c r="K637" s="58"/>
    </row>
    <row r="638" spans="1:11">
      <c r="A638" s="367"/>
      <c r="B638" s="256"/>
      <c r="C638" s="325"/>
      <c r="D638" s="68">
        <v>4</v>
      </c>
      <c r="E638" s="60" t="s">
        <v>411</v>
      </c>
      <c r="F638" s="70" t="s">
        <v>5</v>
      </c>
      <c r="K638" s="16"/>
    </row>
    <row r="639" spans="1:11" ht="30">
      <c r="A639" s="367"/>
      <c r="B639" s="256"/>
      <c r="C639" s="325"/>
      <c r="D639" s="68">
        <v>3</v>
      </c>
      <c r="E639" s="60" t="s">
        <v>412</v>
      </c>
      <c r="F639" s="70"/>
      <c r="K639" s="16"/>
    </row>
    <row r="640" spans="1:11" ht="30">
      <c r="A640" s="367"/>
      <c r="B640" s="256"/>
      <c r="C640" s="325"/>
      <c r="D640" s="68">
        <v>2</v>
      </c>
      <c r="E640" s="60" t="s">
        <v>413</v>
      </c>
      <c r="F640" s="70"/>
      <c r="K640" s="16"/>
    </row>
    <row r="641" spans="1:11" ht="30">
      <c r="A641" s="367"/>
      <c r="B641" s="256"/>
      <c r="C641" s="325"/>
      <c r="D641" s="68">
        <v>1</v>
      </c>
      <c r="E641" s="60" t="s">
        <v>414</v>
      </c>
      <c r="F641" s="70"/>
      <c r="K641" s="16"/>
    </row>
    <row r="642" spans="1:11">
      <c r="A642" s="367"/>
      <c r="B642" s="256"/>
      <c r="C642" s="325"/>
      <c r="D642" s="68">
        <v>0</v>
      </c>
      <c r="E642" s="60" t="s">
        <v>415</v>
      </c>
      <c r="F642" s="71"/>
      <c r="K642" s="16"/>
    </row>
    <row r="643" spans="1:11" ht="15" customHeight="1">
      <c r="A643" s="368"/>
      <c r="B643" s="257"/>
      <c r="C643" s="326"/>
      <c r="D643" s="371" t="s">
        <v>27</v>
      </c>
      <c r="E643" s="402"/>
      <c r="F643" s="63">
        <f>IF(G637="Salah isi",0,F637)</f>
        <v>0</v>
      </c>
      <c r="K643" s="16"/>
    </row>
    <row r="644" spans="1:11" ht="15" customHeight="1">
      <c r="A644" s="64"/>
      <c r="B644" s="64"/>
      <c r="C644" s="64"/>
      <c r="D644" s="65"/>
      <c r="E644" s="66"/>
      <c r="F644" s="67"/>
      <c r="K644" s="16"/>
    </row>
    <row r="645" spans="1:11" ht="50.1" customHeight="1">
      <c r="A645" s="366">
        <v>51</v>
      </c>
      <c r="B645" s="255"/>
      <c r="C645" s="334" t="s">
        <v>416</v>
      </c>
      <c r="D645" s="392" t="s">
        <v>417</v>
      </c>
      <c r="E645" s="392"/>
      <c r="F645" s="143"/>
      <c r="K645" s="58"/>
    </row>
    <row r="646" spans="1:11" ht="35.450000000000003" customHeight="1">
      <c r="A646" s="367"/>
      <c r="B646" s="256"/>
      <c r="C646" s="325"/>
      <c r="D646" s="393" t="s">
        <v>418</v>
      </c>
      <c r="E646" s="394"/>
      <c r="F646" s="79">
        <v>18</v>
      </c>
      <c r="G646" s="15" t="s">
        <v>51</v>
      </c>
      <c r="J646" s="80"/>
      <c r="K646" s="16"/>
    </row>
    <row r="647" spans="1:11" ht="15" customHeight="1">
      <c r="A647" s="367"/>
      <c r="B647" s="256"/>
      <c r="C647" s="325"/>
      <c r="D647" s="375" t="s">
        <v>419</v>
      </c>
      <c r="E647" s="376"/>
      <c r="F647" s="79">
        <v>18</v>
      </c>
      <c r="G647" s="15" t="s">
        <v>51</v>
      </c>
      <c r="J647" s="80"/>
      <c r="K647" s="16"/>
    </row>
    <row r="648" spans="1:11" ht="15" customHeight="1">
      <c r="A648" s="367"/>
      <c r="B648" s="256"/>
      <c r="C648" s="325"/>
      <c r="D648" s="393" t="s">
        <v>420</v>
      </c>
      <c r="E648" s="394"/>
      <c r="F648" s="127">
        <f>IF(F647&gt;0,F646/F647,0)</f>
        <v>1</v>
      </c>
      <c r="J648" s="118"/>
      <c r="K648" s="16"/>
    </row>
    <row r="649" spans="1:11" ht="14.45" hidden="1" customHeight="1">
      <c r="A649" s="367"/>
      <c r="B649" s="256"/>
      <c r="C649" s="325"/>
      <c r="D649" s="89" t="s">
        <v>109</v>
      </c>
      <c r="E649" s="128">
        <v>0.25</v>
      </c>
      <c r="F649" s="129"/>
      <c r="J649" s="118"/>
      <c r="K649" s="16"/>
    </row>
    <row r="650" spans="1:11" ht="15.75" thickBot="1">
      <c r="A650" s="368"/>
      <c r="B650" s="257"/>
      <c r="C650" s="326"/>
      <c r="D650" s="403" t="s">
        <v>27</v>
      </c>
      <c r="E650" s="404"/>
      <c r="F650" s="63">
        <f>IF(F648&gt;=E649,4,2+2/E649*F648)</f>
        <v>4</v>
      </c>
      <c r="K650" s="16"/>
    </row>
    <row r="651" spans="1:11" ht="15.75" thickBot="1">
      <c r="D651" s="95"/>
      <c r="E651" s="96"/>
      <c r="K651" s="95"/>
    </row>
    <row r="652" spans="1:11" ht="95.1" customHeight="1">
      <c r="A652" s="366">
        <v>52</v>
      </c>
      <c r="B652" s="255"/>
      <c r="C652" s="334" t="s">
        <v>421</v>
      </c>
      <c r="D652" s="369" t="s">
        <v>422</v>
      </c>
      <c r="E652" s="370"/>
      <c r="F652" s="57" t="s">
        <v>5</v>
      </c>
      <c r="G652" s="15" t="str">
        <f>IF(OR(ISBLANK(F652),F652&gt;4),"Salah isi","judge")</f>
        <v>Salah isi</v>
      </c>
      <c r="K652" s="58"/>
    </row>
    <row r="653" spans="1:11">
      <c r="A653" s="367"/>
      <c r="B653" s="256"/>
      <c r="C653" s="325"/>
      <c r="D653" s="59">
        <v>4</v>
      </c>
      <c r="E653" s="60" t="s">
        <v>423</v>
      </c>
      <c r="F653" s="61"/>
      <c r="K653" s="16"/>
    </row>
    <row r="654" spans="1:11">
      <c r="A654" s="367"/>
      <c r="B654" s="256"/>
      <c r="C654" s="325"/>
      <c r="D654" s="59">
        <v>3</v>
      </c>
      <c r="E654" s="60" t="s">
        <v>424</v>
      </c>
      <c r="F654" s="61"/>
      <c r="K654" s="16"/>
    </row>
    <row r="655" spans="1:11">
      <c r="A655" s="367"/>
      <c r="B655" s="256"/>
      <c r="C655" s="325"/>
      <c r="D655" s="59">
        <v>2</v>
      </c>
      <c r="E655" s="60" t="s">
        <v>425</v>
      </c>
      <c r="F655" s="61"/>
      <c r="K655" s="16"/>
    </row>
    <row r="656" spans="1:11" ht="30">
      <c r="A656" s="367"/>
      <c r="B656" s="256"/>
      <c r="C656" s="325"/>
      <c r="D656" s="59">
        <v>1</v>
      </c>
      <c r="E656" s="60" t="s">
        <v>426</v>
      </c>
      <c r="F656" s="61"/>
      <c r="K656" s="16"/>
    </row>
    <row r="657" spans="1:11">
      <c r="A657" s="367"/>
      <c r="B657" s="256"/>
      <c r="C657" s="325"/>
      <c r="D657" s="59">
        <v>0</v>
      </c>
      <c r="E657" s="60" t="s">
        <v>427</v>
      </c>
      <c r="F657" s="62"/>
      <c r="K657" s="16"/>
    </row>
    <row r="658" spans="1:11" ht="15" customHeight="1">
      <c r="A658" s="368"/>
      <c r="B658" s="257"/>
      <c r="C658" s="326"/>
      <c r="D658" s="371" t="s">
        <v>27</v>
      </c>
      <c r="E658" s="372"/>
      <c r="F658" s="63">
        <f>IF(G652="Salah isi",0,F652)</f>
        <v>0</v>
      </c>
      <c r="K658" s="16"/>
    </row>
    <row r="659" spans="1:11" ht="15" customHeight="1">
      <c r="A659" s="64"/>
      <c r="B659" s="64"/>
      <c r="C659" s="64"/>
      <c r="D659" s="65"/>
      <c r="E659" s="66"/>
      <c r="F659" s="67"/>
      <c r="K659" s="16"/>
    </row>
    <row r="660" spans="1:11" ht="41.45" customHeight="1">
      <c r="A660" s="366">
        <v>53</v>
      </c>
      <c r="B660" s="255"/>
      <c r="C660" s="334"/>
      <c r="D660" s="369" t="s">
        <v>428</v>
      </c>
      <c r="E660" s="370"/>
      <c r="F660" s="143"/>
      <c r="K660" s="58"/>
    </row>
    <row r="661" spans="1:11" ht="14.45" customHeight="1">
      <c r="A661" s="367"/>
      <c r="B661" s="256"/>
      <c r="C661" s="325"/>
      <c r="D661" s="400" t="s">
        <v>429</v>
      </c>
      <c r="E661" s="401"/>
      <c r="F661" s="182">
        <v>21</v>
      </c>
      <c r="G661" s="15" t="s">
        <v>51</v>
      </c>
      <c r="K661" s="16"/>
    </row>
    <row r="662" spans="1:11" ht="14.25" customHeight="1">
      <c r="A662" s="367"/>
      <c r="B662" s="256"/>
      <c r="C662" s="325"/>
      <c r="D662" s="400" t="s">
        <v>430</v>
      </c>
      <c r="E662" s="401"/>
      <c r="F662" s="182">
        <v>23</v>
      </c>
      <c r="G662" s="15" t="s">
        <v>51</v>
      </c>
      <c r="K662" s="16"/>
    </row>
    <row r="663" spans="1:11" ht="14.45" customHeight="1">
      <c r="A663" s="367"/>
      <c r="B663" s="256"/>
      <c r="C663" s="325"/>
      <c r="D663" s="400" t="s">
        <v>431</v>
      </c>
      <c r="E663" s="401"/>
      <c r="F663" s="182">
        <v>19</v>
      </c>
      <c r="G663" s="15" t="s">
        <v>51</v>
      </c>
      <c r="K663" s="16"/>
    </row>
    <row r="664" spans="1:11" ht="14.45" customHeight="1">
      <c r="A664" s="367"/>
      <c r="B664" s="256"/>
      <c r="C664" s="325"/>
      <c r="D664" s="400" t="s">
        <v>432</v>
      </c>
      <c r="E664" s="401"/>
      <c r="F664" s="183">
        <v>3.28</v>
      </c>
      <c r="G664" s="15" t="s">
        <v>51</v>
      </c>
      <c r="K664" s="16"/>
    </row>
    <row r="665" spans="1:11" ht="14.45" customHeight="1">
      <c r="A665" s="367"/>
      <c r="B665" s="256"/>
      <c r="C665" s="325"/>
      <c r="D665" s="400" t="s">
        <v>433</v>
      </c>
      <c r="E665" s="401"/>
      <c r="F665" s="183">
        <v>3.29</v>
      </c>
      <c r="G665" s="15" t="s">
        <v>51</v>
      </c>
      <c r="K665" s="16"/>
    </row>
    <row r="666" spans="1:11" ht="14.45" customHeight="1">
      <c r="A666" s="367"/>
      <c r="B666" s="256"/>
      <c r="C666" s="325"/>
      <c r="D666" s="400" t="s">
        <v>434</v>
      </c>
      <c r="E666" s="401"/>
      <c r="F666" s="183">
        <v>3.29</v>
      </c>
      <c r="G666" s="15" t="s">
        <v>51</v>
      </c>
      <c r="K666" s="16"/>
    </row>
    <row r="667" spans="1:11" ht="14.45" customHeight="1">
      <c r="A667" s="367"/>
      <c r="B667" s="256"/>
      <c r="C667" s="325"/>
      <c r="D667" s="184" t="s">
        <v>435</v>
      </c>
      <c r="E667" s="185"/>
      <c r="F667" s="186">
        <f>IF(SUM(F661:F663)&gt;0,(F661*F664+F662*F665+F663*F666)/SUM(F661:F663),0)</f>
        <v>3.2866666666666666</v>
      </c>
      <c r="K667" s="16"/>
    </row>
    <row r="668" spans="1:11" ht="14.45" hidden="1" customHeight="1">
      <c r="A668" s="367"/>
      <c r="B668" s="256"/>
      <c r="C668" s="325"/>
      <c r="D668" s="187" t="s">
        <v>142</v>
      </c>
      <c r="E668" s="188">
        <v>2</v>
      </c>
      <c r="F668" s="189"/>
      <c r="K668" s="16"/>
    </row>
    <row r="669" spans="1:11" ht="14.45" hidden="1" customHeight="1">
      <c r="A669" s="367"/>
      <c r="B669" s="256"/>
      <c r="C669" s="325"/>
      <c r="D669" s="187" t="s">
        <v>143</v>
      </c>
      <c r="E669" s="188">
        <v>3.25</v>
      </c>
      <c r="F669" s="189"/>
      <c r="K669" s="16"/>
    </row>
    <row r="670" spans="1:11" ht="15" customHeight="1" thickBot="1">
      <c r="A670" s="368"/>
      <c r="B670" s="257"/>
      <c r="C670" s="326"/>
      <c r="D670" s="371" t="s">
        <v>27</v>
      </c>
      <c r="E670" s="372"/>
      <c r="F670" s="63">
        <f>IF(F667&gt;=E669,4,IF(F667&gt;=E668,2/(E669-E668)*(F667-E668)+2,0))</f>
        <v>4</v>
      </c>
      <c r="K670" s="16"/>
    </row>
    <row r="671" spans="1:11" ht="15" customHeight="1" thickBot="1">
      <c r="A671" s="190"/>
      <c r="B671" s="190"/>
      <c r="C671" s="190"/>
      <c r="D671" s="95"/>
      <c r="E671" s="96"/>
      <c r="K671" s="97"/>
    </row>
    <row r="672" spans="1:11" ht="47.25" customHeight="1">
      <c r="A672" s="366">
        <v>54</v>
      </c>
      <c r="B672" s="255"/>
      <c r="C672" s="334"/>
      <c r="D672" s="392" t="s">
        <v>436</v>
      </c>
      <c r="E672" s="392"/>
      <c r="F672" s="143"/>
      <c r="K672" s="58"/>
    </row>
    <row r="673" spans="1:11">
      <c r="A673" s="367"/>
      <c r="B673" s="256"/>
      <c r="C673" s="325"/>
      <c r="D673" s="393" t="s">
        <v>437</v>
      </c>
      <c r="E673" s="394"/>
      <c r="F673" s="79">
        <v>0</v>
      </c>
      <c r="G673" s="15" t="s">
        <v>51</v>
      </c>
      <c r="J673" s="80"/>
      <c r="K673" s="16"/>
    </row>
    <row r="674" spans="1:11">
      <c r="A674" s="367"/>
      <c r="B674" s="256"/>
      <c r="C674" s="325"/>
      <c r="D674" s="393" t="s">
        <v>438</v>
      </c>
      <c r="E674" s="394"/>
      <c r="F674" s="79">
        <v>1</v>
      </c>
      <c r="G674" s="15" t="s">
        <v>51</v>
      </c>
      <c r="J674" s="80"/>
      <c r="K674" s="16"/>
    </row>
    <row r="675" spans="1:11">
      <c r="A675" s="367"/>
      <c r="B675" s="256"/>
      <c r="C675" s="325"/>
      <c r="D675" s="393" t="s">
        <v>439</v>
      </c>
      <c r="E675" s="394"/>
      <c r="F675" s="79">
        <v>3</v>
      </c>
      <c r="G675" s="15" t="s">
        <v>51</v>
      </c>
      <c r="J675" s="80"/>
      <c r="K675" s="16"/>
    </row>
    <row r="676" spans="1:11" ht="15.75" customHeight="1">
      <c r="A676" s="367"/>
      <c r="B676" s="256"/>
      <c r="C676" s="325"/>
      <c r="D676" s="393" t="s">
        <v>440</v>
      </c>
      <c r="E676" s="394"/>
      <c r="F676" s="79">
        <v>136</v>
      </c>
      <c r="G676" s="15" t="s">
        <v>51</v>
      </c>
      <c r="J676" s="80"/>
      <c r="K676" s="16"/>
    </row>
    <row r="677" spans="1:11">
      <c r="A677" s="367"/>
      <c r="B677" s="256"/>
      <c r="C677" s="325"/>
      <c r="D677" s="393" t="s">
        <v>441</v>
      </c>
      <c r="E677" s="394"/>
      <c r="F677" s="191">
        <f>IF(F676&gt;0,F673/F676,0)</f>
        <v>0</v>
      </c>
      <c r="J677" s="82"/>
      <c r="K677" s="16"/>
    </row>
    <row r="678" spans="1:11" ht="15.75" customHeight="1">
      <c r="A678" s="367"/>
      <c r="B678" s="256"/>
      <c r="C678" s="325"/>
      <c r="D678" s="393" t="s">
        <v>442</v>
      </c>
      <c r="E678" s="394"/>
      <c r="F678" s="191">
        <f>IF(F676&gt;0,F674/F676,0)</f>
        <v>7.3529411764705881E-3</v>
      </c>
      <c r="J678" s="82"/>
      <c r="K678" s="16"/>
    </row>
    <row r="679" spans="1:11" ht="15.75" customHeight="1">
      <c r="A679" s="367"/>
      <c r="B679" s="256"/>
      <c r="C679" s="325"/>
      <c r="D679" s="393" t="s">
        <v>443</v>
      </c>
      <c r="E679" s="394"/>
      <c r="F679" s="191">
        <f>IF(F676&gt;0,F675/F676,0)</f>
        <v>2.2058823529411766E-2</v>
      </c>
      <c r="J679" s="82"/>
      <c r="K679" s="16"/>
    </row>
    <row r="680" spans="1:11" ht="15.75" hidden="1" customHeight="1">
      <c r="A680" s="367"/>
      <c r="B680" s="256"/>
      <c r="C680" s="325"/>
      <c r="D680" s="83" t="s">
        <v>56</v>
      </c>
      <c r="E680" s="192">
        <v>1E-3</v>
      </c>
      <c r="F680" s="84"/>
      <c r="J680" s="82"/>
      <c r="K680" s="16"/>
    </row>
    <row r="681" spans="1:11" ht="15.75" hidden="1" customHeight="1">
      <c r="A681" s="367"/>
      <c r="B681" s="256"/>
      <c r="C681" s="325"/>
      <c r="D681" s="83" t="s">
        <v>57</v>
      </c>
      <c r="E681" s="192">
        <v>0.01</v>
      </c>
      <c r="F681" s="84"/>
      <c r="J681" s="82"/>
      <c r="K681" s="16"/>
    </row>
    <row r="682" spans="1:11" ht="15.75" hidden="1" customHeight="1">
      <c r="A682" s="367"/>
      <c r="B682" s="256"/>
      <c r="C682" s="325"/>
      <c r="D682" s="83" t="s">
        <v>58</v>
      </c>
      <c r="E682" s="192">
        <v>0.02</v>
      </c>
      <c r="F682" s="84"/>
      <c r="J682" s="82"/>
      <c r="K682" s="16"/>
    </row>
    <row r="683" spans="1:11" ht="15.75" hidden="1" customHeight="1">
      <c r="A683" s="367"/>
      <c r="B683" s="256"/>
      <c r="C683" s="325"/>
      <c r="D683" s="89"/>
      <c r="E683" s="90" t="s">
        <v>189</v>
      </c>
      <c r="F683" s="91" t="str">
        <f>IF(F677&gt;=E680,"YES","NO")</f>
        <v>NO</v>
      </c>
      <c r="J683" s="82"/>
      <c r="K683" s="16"/>
    </row>
    <row r="684" spans="1:11" ht="15.75" hidden="1" customHeight="1">
      <c r="A684" s="367"/>
      <c r="B684" s="256"/>
      <c r="C684" s="325"/>
      <c r="D684" s="89"/>
      <c r="E684" s="90" t="s">
        <v>190</v>
      </c>
      <c r="F684" s="91" t="str">
        <f>IF(AND(F677&lt;E680,F678&gt;=E681),"YES","NO")</f>
        <v>NO</v>
      </c>
      <c r="J684" s="82"/>
      <c r="K684" s="16"/>
    </row>
    <row r="685" spans="1:11" ht="15.75" hidden="1" customHeight="1">
      <c r="A685" s="367"/>
      <c r="B685" s="256"/>
      <c r="C685" s="325"/>
      <c r="D685" s="89"/>
      <c r="E685" s="90" t="s">
        <v>191</v>
      </c>
      <c r="F685" s="91" t="str">
        <f>IF(OR(AND(F677&gt;0,F677&lt;E680,F678=0),AND(F678&gt;0,F678&lt;E681,F677=0),AND(F677&gt;0,F677&lt;E680,F678&gt;0,F678&lt;E681)),"YES","NO")</f>
        <v>YES</v>
      </c>
      <c r="J685" s="82"/>
      <c r="K685" s="16"/>
    </row>
    <row r="686" spans="1:11" ht="15.75" hidden="1" customHeight="1">
      <c r="A686" s="367"/>
      <c r="B686" s="256"/>
      <c r="C686" s="325"/>
      <c r="D686" s="89"/>
      <c r="E686" s="90" t="s">
        <v>444</v>
      </c>
      <c r="F686" s="91" t="str">
        <f>IF(AND(F677=0,F678=0,F679&gt;=E682),"YES","NO")</f>
        <v>NO</v>
      </c>
      <c r="J686" s="82"/>
      <c r="K686" s="16"/>
    </row>
    <row r="687" spans="1:11" ht="15.75" hidden="1" customHeight="1">
      <c r="A687" s="367"/>
      <c r="B687" s="256"/>
      <c r="C687" s="325"/>
      <c r="D687" s="89"/>
      <c r="E687" s="90" t="s">
        <v>445</v>
      </c>
      <c r="F687" s="91" t="str">
        <f>IF(AND(F677=0,F678=0,F679&lt;E682),"YES","NO")</f>
        <v>NO</v>
      </c>
      <c r="J687" s="82"/>
      <c r="K687" s="16"/>
    </row>
    <row r="688" spans="1:11" ht="15" customHeight="1" thickBot="1">
      <c r="A688" s="368"/>
      <c r="B688" s="257"/>
      <c r="C688" s="326"/>
      <c r="D688" s="403" t="s">
        <v>27</v>
      </c>
      <c r="E688" s="404"/>
      <c r="F688" s="63">
        <f>IF(F683="YES",4,IF(F684="YES",3+F677/E680,IF(F685="YES",2+2*F677/E680+F678/E681-(F677*F678)/(E680*E681),IF(F686="YES",2,2*F679/E682))))</f>
        <v>2.7352941176470589</v>
      </c>
      <c r="J688" s="85"/>
      <c r="K688" s="16"/>
    </row>
    <row r="689" spans="1:11" ht="15.75" thickBot="1">
      <c r="D689" s="95"/>
      <c r="E689" s="96"/>
      <c r="K689" s="97"/>
    </row>
    <row r="690" spans="1:11" ht="47.25" customHeight="1">
      <c r="A690" s="366">
        <v>55</v>
      </c>
      <c r="B690" s="255"/>
      <c r="C690" s="334"/>
      <c r="D690" s="392" t="s">
        <v>446</v>
      </c>
      <c r="E690" s="392"/>
      <c r="F690" s="143"/>
      <c r="K690" s="58"/>
    </row>
    <row r="691" spans="1:11" ht="15" customHeight="1">
      <c r="A691" s="367"/>
      <c r="B691" s="256"/>
      <c r="C691" s="325"/>
      <c r="D691" s="393" t="s">
        <v>447</v>
      </c>
      <c r="E691" s="394"/>
      <c r="F691" s="79">
        <v>0</v>
      </c>
      <c r="G691" s="15" t="s">
        <v>51</v>
      </c>
      <c r="J691" s="80"/>
      <c r="K691" s="16"/>
    </row>
    <row r="692" spans="1:11" ht="15" customHeight="1">
      <c r="A692" s="367"/>
      <c r="B692" s="256"/>
      <c r="C692" s="325"/>
      <c r="D692" s="393" t="s">
        <v>448</v>
      </c>
      <c r="E692" s="394"/>
      <c r="F692" s="79">
        <v>1</v>
      </c>
      <c r="G692" s="15" t="s">
        <v>51</v>
      </c>
      <c r="J692" s="80"/>
      <c r="K692" s="16"/>
    </row>
    <row r="693" spans="1:11" ht="15" customHeight="1">
      <c r="A693" s="367"/>
      <c r="B693" s="256"/>
      <c r="C693" s="325"/>
      <c r="D693" s="393" t="s">
        <v>449</v>
      </c>
      <c r="E693" s="394"/>
      <c r="F693" s="79">
        <v>19</v>
      </c>
      <c r="G693" s="15" t="s">
        <v>51</v>
      </c>
      <c r="J693" s="80"/>
      <c r="K693" s="16"/>
    </row>
    <row r="694" spans="1:11" ht="15.75" customHeight="1">
      <c r="A694" s="367"/>
      <c r="B694" s="256"/>
      <c r="C694" s="325"/>
      <c r="D694" s="393" t="s">
        <v>440</v>
      </c>
      <c r="E694" s="394"/>
      <c r="F694" s="79">
        <v>136</v>
      </c>
      <c r="G694" s="15" t="s">
        <v>51</v>
      </c>
      <c r="J694" s="80"/>
      <c r="K694" s="16"/>
    </row>
    <row r="695" spans="1:11" ht="15" customHeight="1">
      <c r="A695" s="367"/>
      <c r="B695" s="256"/>
      <c r="C695" s="325"/>
      <c r="D695" s="393" t="s">
        <v>441</v>
      </c>
      <c r="E695" s="394"/>
      <c r="F695" s="191">
        <f>IF(F694&gt;0,F691/F694,0)</f>
        <v>0</v>
      </c>
      <c r="J695" s="82"/>
      <c r="K695" s="16"/>
    </row>
    <row r="696" spans="1:11" ht="15.75" customHeight="1">
      <c r="A696" s="367"/>
      <c r="B696" s="256"/>
      <c r="C696" s="325"/>
      <c r="D696" s="393" t="s">
        <v>442</v>
      </c>
      <c r="E696" s="394"/>
      <c r="F696" s="191">
        <f>IF(F694&gt;0,F692/F694,0)</f>
        <v>7.3529411764705881E-3</v>
      </c>
      <c r="J696" s="82"/>
      <c r="K696" s="16"/>
    </row>
    <row r="697" spans="1:11" ht="15.75" customHeight="1">
      <c r="A697" s="367"/>
      <c r="B697" s="256"/>
      <c r="C697" s="325"/>
      <c r="D697" s="393" t="s">
        <v>443</v>
      </c>
      <c r="E697" s="394"/>
      <c r="F697" s="191">
        <f>IF(F694&gt;0,F693/F694,0)</f>
        <v>0.13970588235294118</v>
      </c>
      <c r="J697" s="82"/>
      <c r="K697" s="16"/>
    </row>
    <row r="698" spans="1:11" ht="15.6" hidden="1" customHeight="1">
      <c r="A698" s="367"/>
      <c r="B698" s="256"/>
      <c r="C698" s="325"/>
      <c r="D698" s="83" t="s">
        <v>56</v>
      </c>
      <c r="E698" s="192">
        <v>2E-3</v>
      </c>
      <c r="F698" s="84"/>
      <c r="J698" s="82"/>
      <c r="K698" s="16"/>
    </row>
    <row r="699" spans="1:11" ht="15.75" hidden="1" customHeight="1">
      <c r="A699" s="367"/>
      <c r="B699" s="256"/>
      <c r="C699" s="325"/>
      <c r="D699" s="83" t="s">
        <v>57</v>
      </c>
      <c r="E699" s="192">
        <v>0.02</v>
      </c>
      <c r="F699" s="84"/>
      <c r="J699" s="82"/>
      <c r="K699" s="16"/>
    </row>
    <row r="700" spans="1:11" ht="15.75" hidden="1" customHeight="1">
      <c r="A700" s="367"/>
      <c r="B700" s="256"/>
      <c r="C700" s="325"/>
      <c r="D700" s="83" t="s">
        <v>58</v>
      </c>
      <c r="E700" s="192">
        <v>0.04</v>
      </c>
      <c r="F700" s="84"/>
      <c r="J700" s="82"/>
      <c r="K700" s="16"/>
    </row>
    <row r="701" spans="1:11" ht="15.75" hidden="1" customHeight="1">
      <c r="A701" s="367"/>
      <c r="B701" s="256"/>
      <c r="C701" s="325"/>
      <c r="D701" s="89"/>
      <c r="E701" s="90" t="s">
        <v>189</v>
      </c>
      <c r="F701" s="91" t="str">
        <f>IF(F695&gt;=E698,"YES","NO")</f>
        <v>NO</v>
      </c>
      <c r="J701" s="82"/>
      <c r="K701" s="16"/>
    </row>
    <row r="702" spans="1:11" ht="15.75" hidden="1" customHeight="1">
      <c r="A702" s="367"/>
      <c r="B702" s="256"/>
      <c r="C702" s="325"/>
      <c r="D702" s="89"/>
      <c r="E702" s="90" t="s">
        <v>190</v>
      </c>
      <c r="F702" s="91" t="str">
        <f>IF(AND(F695&lt;E698,F696&gt;=E699),"YES","NO")</f>
        <v>NO</v>
      </c>
      <c r="J702" s="82"/>
      <c r="K702" s="16"/>
    </row>
    <row r="703" spans="1:11" ht="15.75" hidden="1" customHeight="1">
      <c r="A703" s="367"/>
      <c r="B703" s="256"/>
      <c r="C703" s="325"/>
      <c r="D703" s="89"/>
      <c r="E703" s="90" t="s">
        <v>191</v>
      </c>
      <c r="F703" s="91" t="str">
        <f>IF(OR(AND(F695&gt;0,F695&lt;E698,F696=0),AND(F696&gt;0,F696&lt;E699,F695=0),AND(F695&gt;0,F695&lt;E698,F696&gt;0,F696&lt;E699)),"YES","NO")</f>
        <v>YES</v>
      </c>
      <c r="J703" s="82"/>
      <c r="K703" s="16"/>
    </row>
    <row r="704" spans="1:11" ht="15.75" hidden="1" customHeight="1">
      <c r="A704" s="367"/>
      <c r="B704" s="256"/>
      <c r="C704" s="325"/>
      <c r="D704" s="89"/>
      <c r="E704" s="90" t="s">
        <v>444</v>
      </c>
      <c r="F704" s="91" t="str">
        <f>IF(AND(F695=0,F696=0,F697&gt;=E700),"YES","NO")</f>
        <v>NO</v>
      </c>
      <c r="J704" s="82"/>
      <c r="K704" s="16"/>
    </row>
    <row r="705" spans="1:13" ht="15.75" hidden="1" customHeight="1">
      <c r="A705" s="367"/>
      <c r="B705" s="256"/>
      <c r="C705" s="325"/>
      <c r="D705" s="89"/>
      <c r="E705" s="90" t="s">
        <v>445</v>
      </c>
      <c r="F705" s="91" t="str">
        <f>IF(AND(F695=0,F696=0,F697&lt;E700),"YES","NO")</f>
        <v>NO</v>
      </c>
      <c r="J705" s="82"/>
      <c r="K705" s="16"/>
    </row>
    <row r="706" spans="1:13" ht="15" customHeight="1" thickBot="1">
      <c r="A706" s="368"/>
      <c r="B706" s="257"/>
      <c r="C706" s="326"/>
      <c r="D706" s="403" t="s">
        <v>27</v>
      </c>
      <c r="E706" s="404"/>
      <c r="F706" s="63">
        <f>IF(F701="YES",4,IF(F702="YES",3+F695/E698,IF(F703="YES",2+2*F695/E698+F696/E699-(F695*F696)/(E698*E699),IF(F704="YES",2,2*F697/E700))))</f>
        <v>2.3676470588235294</v>
      </c>
      <c r="J706" s="85"/>
      <c r="K706" s="16"/>
    </row>
    <row r="707" spans="1:13" ht="15.75" thickBot="1">
      <c r="D707" s="95"/>
      <c r="E707" s="96"/>
      <c r="K707" s="97"/>
    </row>
    <row r="708" spans="1:13" ht="40.5" customHeight="1">
      <c r="A708" s="366">
        <v>56</v>
      </c>
      <c r="B708" s="255"/>
      <c r="C708" s="334"/>
      <c r="D708" s="369" t="s">
        <v>450</v>
      </c>
      <c r="E708" s="370"/>
      <c r="F708" s="78"/>
      <c r="K708" s="58"/>
    </row>
    <row r="709" spans="1:13" ht="15" customHeight="1">
      <c r="A709" s="367"/>
      <c r="B709" s="256"/>
      <c r="C709" s="325"/>
      <c r="D709" s="400" t="s">
        <v>451</v>
      </c>
      <c r="E709" s="401"/>
      <c r="F709" s="182">
        <v>15</v>
      </c>
      <c r="G709" s="15" t="s">
        <v>51</v>
      </c>
      <c r="K709" s="16"/>
      <c r="L709" s="211"/>
      <c r="M709" s="211"/>
    </row>
    <row r="710" spans="1:13" ht="15" customHeight="1">
      <c r="A710" s="367"/>
      <c r="B710" s="256"/>
      <c r="C710" s="325"/>
      <c r="D710" s="400" t="s">
        <v>452</v>
      </c>
      <c r="E710" s="401"/>
      <c r="F710" s="182">
        <v>5</v>
      </c>
      <c r="G710" s="15" t="s">
        <v>51</v>
      </c>
      <c r="K710" s="16"/>
      <c r="L710" s="211"/>
      <c r="M710" s="211"/>
    </row>
    <row r="711" spans="1:13" ht="14.45" customHeight="1">
      <c r="A711" s="367"/>
      <c r="B711" s="256"/>
      <c r="C711" s="325"/>
      <c r="D711" s="400" t="s">
        <v>453</v>
      </c>
      <c r="E711" s="401"/>
      <c r="F711" s="182">
        <v>26</v>
      </c>
      <c r="G711" s="15" t="s">
        <v>51</v>
      </c>
      <c r="K711" s="16"/>
      <c r="L711" s="211"/>
      <c r="M711" s="211"/>
    </row>
    <row r="712" spans="1:13" ht="14.45" customHeight="1">
      <c r="A712" s="367"/>
      <c r="B712" s="256"/>
      <c r="C712" s="325"/>
      <c r="D712" s="400" t="s">
        <v>454</v>
      </c>
      <c r="E712" s="401"/>
      <c r="F712" s="182">
        <v>5</v>
      </c>
      <c r="G712" s="15" t="s">
        <v>51</v>
      </c>
      <c r="K712" s="16"/>
      <c r="L712" s="211"/>
      <c r="M712" s="211"/>
    </row>
    <row r="713" spans="1:13" ht="14.45" customHeight="1">
      <c r="A713" s="367"/>
      <c r="B713" s="256"/>
      <c r="C713" s="325"/>
      <c r="D713" s="400" t="s">
        <v>455</v>
      </c>
      <c r="E713" s="401"/>
      <c r="F713" s="182">
        <v>39</v>
      </c>
      <c r="G713" s="15" t="s">
        <v>51</v>
      </c>
      <c r="K713" s="16"/>
    </row>
    <row r="714" spans="1:13" ht="14.45" customHeight="1">
      <c r="A714" s="367"/>
      <c r="B714" s="256"/>
      <c r="C714" s="325"/>
      <c r="D714" s="400" t="s">
        <v>456</v>
      </c>
      <c r="E714" s="401"/>
      <c r="F714" s="193">
        <v>5</v>
      </c>
      <c r="G714" s="15" t="s">
        <v>51</v>
      </c>
      <c r="K714" s="16"/>
    </row>
    <row r="715" spans="1:13" ht="15" customHeight="1">
      <c r="A715" s="367"/>
      <c r="B715" s="256"/>
      <c r="C715" s="325"/>
      <c r="D715" s="400" t="s">
        <v>457</v>
      </c>
      <c r="E715" s="401"/>
      <c r="F715" s="193">
        <v>54</v>
      </c>
      <c r="G715" s="15" t="s">
        <v>51</v>
      </c>
      <c r="K715" s="16"/>
    </row>
    <row r="716" spans="1:13" ht="15.75" customHeight="1">
      <c r="A716" s="367"/>
      <c r="B716" s="256"/>
      <c r="C716" s="325"/>
      <c r="D716" s="400" t="s">
        <v>458</v>
      </c>
      <c r="E716" s="401"/>
      <c r="F716" s="193">
        <v>5</v>
      </c>
      <c r="G716" s="15" t="s">
        <v>51</v>
      </c>
      <c r="J716" s="82"/>
      <c r="K716" s="16"/>
    </row>
    <row r="717" spans="1:13" ht="15.75" customHeight="1">
      <c r="A717" s="367"/>
      <c r="B717" s="256"/>
      <c r="C717" s="325"/>
      <c r="D717" s="400" t="s">
        <v>459</v>
      </c>
      <c r="E717" s="401"/>
      <c r="F717" s="194">
        <f>IF(SUM(F709,F711,F713,F715)&gt;0,(F709*F710+F711*F712+F713*F714+F715*F716)/SUM(F709,F711,F713,F715),0)</f>
        <v>5</v>
      </c>
      <c r="J717" s="82"/>
      <c r="K717" s="16"/>
    </row>
    <row r="718" spans="1:13" ht="15.75" hidden="1" customHeight="1">
      <c r="A718" s="367"/>
      <c r="B718" s="256"/>
      <c r="C718" s="325"/>
      <c r="D718" s="83" t="s">
        <v>142</v>
      </c>
      <c r="E718" s="195">
        <v>2.9999999999999898</v>
      </c>
      <c r="F718" s="195">
        <v>3.5</v>
      </c>
      <c r="J718" s="82"/>
      <c r="K718" s="16"/>
    </row>
    <row r="719" spans="1:13" ht="15.75" hidden="1" customHeight="1">
      <c r="A719" s="367"/>
      <c r="B719" s="256"/>
      <c r="C719" s="325"/>
      <c r="D719" s="83" t="s">
        <v>161</v>
      </c>
      <c r="E719" s="195">
        <v>4.5</v>
      </c>
      <c r="F719" s="195">
        <v>7</v>
      </c>
      <c r="J719" s="82"/>
      <c r="K719" s="16"/>
    </row>
    <row r="720" spans="1:13" ht="15.75" thickBot="1">
      <c r="A720" s="368"/>
      <c r="B720" s="257"/>
      <c r="C720" s="326"/>
      <c r="D720" s="371" t="s">
        <v>27</v>
      </c>
      <c r="E720" s="402"/>
      <c r="F720" s="63">
        <f>IF(F717&gt;F719,0,IF(F717&gt;E719,-4/(F719-E719)*(F717-E719)+4,IF(F717&gt;F718,4,IF(F717&gt;E718,4/(F718-E718)*(F717-E718),0))))</f>
        <v>3.2</v>
      </c>
      <c r="K720" s="16"/>
    </row>
    <row r="721" spans="1:11" ht="15.75" thickBot="1">
      <c r="D721" s="95"/>
      <c r="E721" s="96"/>
      <c r="K721" s="97"/>
    </row>
    <row r="722" spans="1:11" ht="40.5" customHeight="1">
      <c r="A722" s="366">
        <v>57</v>
      </c>
      <c r="B722" s="255"/>
      <c r="C722" s="334"/>
      <c r="D722" s="369" t="s">
        <v>460</v>
      </c>
      <c r="E722" s="370"/>
      <c r="F722" s="78"/>
      <c r="K722" s="58"/>
    </row>
    <row r="723" spans="1:11" ht="15" customHeight="1">
      <c r="A723" s="367"/>
      <c r="B723" s="256"/>
      <c r="C723" s="325"/>
      <c r="D723" s="400" t="s">
        <v>461</v>
      </c>
      <c r="E723" s="401"/>
      <c r="F723" s="193">
        <v>111</v>
      </c>
      <c r="G723" s="15" t="s">
        <v>51</v>
      </c>
      <c r="K723" s="16"/>
    </row>
    <row r="724" spans="1:11" ht="15" customHeight="1">
      <c r="A724" s="367"/>
      <c r="B724" s="256"/>
      <c r="C724" s="325"/>
      <c r="D724" s="400" t="s">
        <v>462</v>
      </c>
      <c r="E724" s="401"/>
      <c r="F724" s="193">
        <v>102</v>
      </c>
      <c r="G724" s="15" t="s">
        <v>51</v>
      </c>
      <c r="K724" s="16"/>
    </row>
    <row r="725" spans="1:11">
      <c r="A725" s="367"/>
      <c r="B725" s="256"/>
      <c r="C725" s="325"/>
      <c r="D725" s="400" t="s">
        <v>463</v>
      </c>
      <c r="E725" s="401"/>
      <c r="F725" s="193">
        <v>101</v>
      </c>
      <c r="G725" s="15" t="s">
        <v>51</v>
      </c>
      <c r="K725" s="16"/>
    </row>
    <row r="726" spans="1:11" ht="15" customHeight="1">
      <c r="A726" s="367"/>
      <c r="B726" s="256"/>
      <c r="C726" s="325"/>
      <c r="D726" s="400" t="s">
        <v>464</v>
      </c>
      <c r="E726" s="401"/>
      <c r="F726" s="193">
        <v>93</v>
      </c>
      <c r="G726" s="15" t="s">
        <v>51</v>
      </c>
      <c r="K726" s="16"/>
    </row>
    <row r="727" spans="1:11" ht="15" customHeight="1">
      <c r="A727" s="367"/>
      <c r="B727" s="256"/>
      <c r="C727" s="325"/>
      <c r="D727" s="400" t="s">
        <v>465</v>
      </c>
      <c r="E727" s="401"/>
      <c r="F727" s="193">
        <v>15</v>
      </c>
      <c r="G727" s="15" t="s">
        <v>51</v>
      </c>
      <c r="K727" s="16"/>
    </row>
    <row r="728" spans="1:11" ht="14.45" customHeight="1">
      <c r="A728" s="367"/>
      <c r="B728" s="256"/>
      <c r="C728" s="325"/>
      <c r="D728" s="400" t="s">
        <v>466</v>
      </c>
      <c r="E728" s="401"/>
      <c r="F728" s="193">
        <v>11</v>
      </c>
      <c r="G728" s="15" t="s">
        <v>51</v>
      </c>
      <c r="K728" s="16"/>
    </row>
    <row r="729" spans="1:11" ht="14.45" customHeight="1">
      <c r="A729" s="367"/>
      <c r="B729" s="256"/>
      <c r="C729" s="325"/>
      <c r="D729" s="400" t="s">
        <v>467</v>
      </c>
      <c r="E729" s="401"/>
      <c r="F729" s="193">
        <v>13</v>
      </c>
      <c r="G729" s="15" t="s">
        <v>51</v>
      </c>
      <c r="K729" s="16"/>
    </row>
    <row r="730" spans="1:11" ht="14.45" customHeight="1">
      <c r="A730" s="367"/>
      <c r="B730" s="256"/>
      <c r="C730" s="325"/>
      <c r="D730" s="400" t="s">
        <v>468</v>
      </c>
      <c r="E730" s="401"/>
      <c r="F730" s="193">
        <v>15</v>
      </c>
      <c r="G730" s="15" t="s">
        <v>51</v>
      </c>
      <c r="K730" s="16"/>
    </row>
    <row r="731" spans="1:11" ht="14.45" customHeight="1">
      <c r="A731" s="367"/>
      <c r="B731" s="256"/>
      <c r="C731" s="325"/>
      <c r="D731" s="400" t="s">
        <v>469</v>
      </c>
      <c r="E731" s="401"/>
      <c r="F731" s="196">
        <f>IF(SUM(F723:F726)&gt;0,SUM(F727:F730)/SUM(F723:F726),0)</f>
        <v>0.13267813267813267</v>
      </c>
      <c r="K731" s="16"/>
    </row>
    <row r="732" spans="1:11" ht="14.45" hidden="1" customHeight="1">
      <c r="A732" s="367"/>
      <c r="B732" s="256"/>
      <c r="C732" s="325"/>
      <c r="D732" s="83"/>
      <c r="E732" s="197"/>
      <c r="F732" s="84"/>
      <c r="K732" s="16"/>
    </row>
    <row r="733" spans="1:11" ht="15" hidden="1" customHeight="1">
      <c r="A733" s="367"/>
      <c r="B733" s="256"/>
      <c r="C733" s="325"/>
      <c r="D733" s="83"/>
      <c r="E733" s="197"/>
      <c r="F733" s="84"/>
      <c r="K733" s="16"/>
    </row>
    <row r="734" spans="1:11" ht="15.75" hidden="1" customHeight="1">
      <c r="A734" s="367"/>
      <c r="B734" s="256"/>
      <c r="C734" s="325"/>
      <c r="D734" s="83" t="s">
        <v>109</v>
      </c>
      <c r="E734" s="197">
        <v>0.5</v>
      </c>
      <c r="F734" s="84"/>
      <c r="J734" s="82"/>
      <c r="K734" s="16"/>
    </row>
    <row r="735" spans="1:11" ht="15.75" thickBot="1">
      <c r="A735" s="368"/>
      <c r="B735" s="257"/>
      <c r="C735" s="326"/>
      <c r="D735" s="371" t="s">
        <v>27</v>
      </c>
      <c r="E735" s="402"/>
      <c r="F735" s="63">
        <f>IF(F731&gt;=E734,4,1+3/E734*F731)</f>
        <v>1.796068796068796</v>
      </c>
      <c r="K735" s="16"/>
    </row>
    <row r="736" spans="1:11" ht="15.75" thickBot="1">
      <c r="D736" s="95"/>
      <c r="E736" s="96"/>
      <c r="K736" s="97"/>
    </row>
    <row r="737" spans="1:11" ht="40.5" customHeight="1">
      <c r="A737" s="366">
        <v>58</v>
      </c>
      <c r="B737" s="255"/>
      <c r="C737" s="334"/>
      <c r="D737" s="369" t="s">
        <v>470</v>
      </c>
      <c r="E737" s="370"/>
      <c r="F737" s="78"/>
      <c r="K737" s="58"/>
    </row>
    <row r="738" spans="1:11" ht="15" customHeight="1">
      <c r="A738" s="367"/>
      <c r="B738" s="256"/>
      <c r="C738" s="325"/>
      <c r="D738" s="400" t="s">
        <v>471</v>
      </c>
      <c r="E738" s="401"/>
      <c r="F738" s="182">
        <v>111</v>
      </c>
      <c r="G738" s="15" t="s">
        <v>51</v>
      </c>
      <c r="K738" s="16"/>
    </row>
    <row r="739" spans="1:11" ht="15" customHeight="1">
      <c r="A739" s="367"/>
      <c r="B739" s="256"/>
      <c r="C739" s="325"/>
      <c r="D739" s="400" t="s">
        <v>472</v>
      </c>
      <c r="E739" s="401"/>
      <c r="F739" s="182">
        <v>15</v>
      </c>
      <c r="G739" s="15" t="s">
        <v>51</v>
      </c>
      <c r="K739" s="16"/>
    </row>
    <row r="740" spans="1:11" ht="14.45" customHeight="1">
      <c r="A740" s="367"/>
      <c r="B740" s="256"/>
      <c r="C740" s="325"/>
      <c r="D740" s="400" t="s">
        <v>473</v>
      </c>
      <c r="E740" s="401"/>
      <c r="F740" s="182">
        <v>0</v>
      </c>
      <c r="G740" s="15" t="s">
        <v>51</v>
      </c>
      <c r="K740" s="16"/>
    </row>
    <row r="741" spans="1:11" ht="14.45" customHeight="1">
      <c r="A741" s="367"/>
      <c r="B741" s="256"/>
      <c r="C741" s="325"/>
      <c r="D741" s="198" t="s">
        <v>474</v>
      </c>
      <c r="E741" s="199"/>
      <c r="F741" s="182">
        <v>0</v>
      </c>
      <c r="G741" s="15" t="s">
        <v>51</v>
      </c>
      <c r="K741" s="16"/>
    </row>
    <row r="742" spans="1:11" ht="15" customHeight="1">
      <c r="A742" s="367"/>
      <c r="B742" s="256"/>
      <c r="C742" s="325"/>
      <c r="D742" s="198" t="s">
        <v>475</v>
      </c>
      <c r="E742" s="199"/>
      <c r="F742" s="182">
        <v>0</v>
      </c>
      <c r="G742" s="15" t="s">
        <v>51</v>
      </c>
      <c r="K742" s="16"/>
    </row>
    <row r="743" spans="1:11">
      <c r="A743" s="367"/>
      <c r="B743" s="256"/>
      <c r="C743" s="325"/>
      <c r="D743" s="400" t="s">
        <v>476</v>
      </c>
      <c r="E743" s="401"/>
      <c r="F743" s="196">
        <f>IF(F738&gt;0,SUM(F739:F742)/F738,0)</f>
        <v>0.13513513513513514</v>
      </c>
      <c r="K743" s="16"/>
    </row>
    <row r="744" spans="1:11" ht="14.45" hidden="1" customHeight="1">
      <c r="A744" s="367"/>
      <c r="B744" s="256"/>
      <c r="C744" s="325"/>
      <c r="D744" s="83"/>
      <c r="E744" s="197"/>
      <c r="F744" s="84"/>
      <c r="K744" s="16"/>
    </row>
    <row r="745" spans="1:11" ht="15.75" hidden="1" customHeight="1">
      <c r="A745" s="367"/>
      <c r="B745" s="256"/>
      <c r="C745" s="325"/>
      <c r="D745" s="83" t="s">
        <v>142</v>
      </c>
      <c r="E745" s="197">
        <v>0.3</v>
      </c>
      <c r="F745" s="84"/>
      <c r="J745" s="82"/>
      <c r="K745" s="16"/>
    </row>
    <row r="746" spans="1:11" ht="15.75" hidden="1" customHeight="1">
      <c r="A746" s="367"/>
      <c r="B746" s="256"/>
      <c r="C746" s="325"/>
      <c r="D746" s="83" t="s">
        <v>143</v>
      </c>
      <c r="E746" s="197">
        <v>0.85</v>
      </c>
      <c r="F746" s="84"/>
      <c r="J746" s="82"/>
      <c r="K746" s="16"/>
    </row>
    <row r="747" spans="1:11" ht="15.75" thickBot="1">
      <c r="A747" s="368"/>
      <c r="B747" s="257"/>
      <c r="C747" s="326"/>
      <c r="D747" s="371" t="s">
        <v>27</v>
      </c>
      <c r="E747" s="402"/>
      <c r="F747" s="63">
        <f>IF(F743&gt;=E746,4,IF(F743&gt;=E745,4/(E746-E745)*(F743-E745),0))</f>
        <v>0</v>
      </c>
      <c r="K747" s="16"/>
    </row>
    <row r="748" spans="1:11" ht="15.75" thickBot="1">
      <c r="D748" s="95"/>
      <c r="E748" s="96"/>
      <c r="K748" s="97"/>
    </row>
    <row r="749" spans="1:11" ht="120.6" customHeight="1">
      <c r="A749" s="366">
        <v>59</v>
      </c>
      <c r="B749" s="255"/>
      <c r="C749" s="334"/>
      <c r="D749" s="369" t="s">
        <v>477</v>
      </c>
      <c r="E749" s="370"/>
      <c r="F749" s="57" t="s">
        <v>5</v>
      </c>
      <c r="G749" s="15" t="str">
        <f>IF(OR(ISBLANK(F749),F749&gt;4),"Salah isi","judge")</f>
        <v>Salah isi</v>
      </c>
      <c r="K749" s="58"/>
    </row>
    <row r="750" spans="1:11">
      <c r="A750" s="367"/>
      <c r="B750" s="256"/>
      <c r="C750" s="325"/>
      <c r="D750" s="59">
        <v>4</v>
      </c>
      <c r="E750" s="60" t="s">
        <v>478</v>
      </c>
      <c r="F750" s="61"/>
      <c r="K750" s="16"/>
    </row>
    <row r="751" spans="1:11">
      <c r="A751" s="367"/>
      <c r="B751" s="256"/>
      <c r="C751" s="325"/>
      <c r="D751" s="59">
        <v>3</v>
      </c>
      <c r="E751" s="60" t="s">
        <v>479</v>
      </c>
      <c r="F751" s="61"/>
      <c r="K751" s="16"/>
    </row>
    <row r="752" spans="1:11">
      <c r="A752" s="367"/>
      <c r="B752" s="256"/>
      <c r="C752" s="325"/>
      <c r="D752" s="59">
        <v>2</v>
      </c>
      <c r="E752" s="60" t="s">
        <v>480</v>
      </c>
      <c r="F752" s="61"/>
      <c r="K752" s="16"/>
    </row>
    <row r="753" spans="1:11">
      <c r="A753" s="367"/>
      <c r="B753" s="256"/>
      <c r="C753" s="325"/>
      <c r="D753" s="59">
        <v>1</v>
      </c>
      <c r="E753" s="60" t="s">
        <v>481</v>
      </c>
      <c r="F753" s="61"/>
      <c r="K753" s="16"/>
    </row>
    <row r="754" spans="1:11">
      <c r="A754" s="367"/>
      <c r="B754" s="256"/>
      <c r="C754" s="325"/>
      <c r="D754" s="59">
        <v>0</v>
      </c>
      <c r="E754" s="60" t="s">
        <v>482</v>
      </c>
      <c r="F754" s="62"/>
      <c r="K754" s="16"/>
    </row>
    <row r="755" spans="1:11" ht="15" customHeight="1">
      <c r="A755" s="368"/>
      <c r="B755" s="257"/>
      <c r="C755" s="326"/>
      <c r="D755" s="371" t="s">
        <v>27</v>
      </c>
      <c r="E755" s="372"/>
      <c r="F755" s="63">
        <f>IF(G749="Salah isi",0,F749)</f>
        <v>0</v>
      </c>
      <c r="K755" s="16"/>
    </row>
    <row r="756" spans="1:11" ht="15" customHeight="1">
      <c r="A756" s="64"/>
      <c r="B756" s="64"/>
      <c r="C756" s="64"/>
      <c r="D756" s="65"/>
      <c r="E756" s="66"/>
      <c r="F756" s="67"/>
      <c r="K756" s="16"/>
    </row>
    <row r="757" spans="1:11" ht="29.25" customHeight="1">
      <c r="A757" s="366">
        <v>60</v>
      </c>
      <c r="B757" s="267"/>
      <c r="C757" s="323"/>
      <c r="D757" s="398" t="s">
        <v>483</v>
      </c>
      <c r="E757" s="399"/>
      <c r="F757" s="78"/>
      <c r="K757" s="58"/>
    </row>
    <row r="758" spans="1:11" ht="15" customHeight="1">
      <c r="A758" s="367"/>
      <c r="B758" s="268"/>
      <c r="C758" s="324"/>
      <c r="D758" s="390" t="s">
        <v>484</v>
      </c>
      <c r="E758" s="391"/>
      <c r="F758" s="200">
        <v>20</v>
      </c>
      <c r="G758" s="15" t="s">
        <v>51</v>
      </c>
      <c r="K758" s="16"/>
    </row>
    <row r="759" spans="1:11" ht="15" customHeight="1">
      <c r="A759" s="367"/>
      <c r="B759" s="268"/>
      <c r="C759" s="324"/>
      <c r="D759" s="390" t="s">
        <v>485</v>
      </c>
      <c r="E759" s="391"/>
      <c r="F759" s="200">
        <v>21</v>
      </c>
      <c r="G759" s="15" t="s">
        <v>51</v>
      </c>
      <c r="K759" s="16"/>
    </row>
    <row r="760" spans="1:11" ht="15" customHeight="1">
      <c r="A760" s="367"/>
      <c r="B760" s="268"/>
      <c r="C760" s="324"/>
      <c r="D760" s="390" t="s">
        <v>486</v>
      </c>
      <c r="E760" s="391"/>
      <c r="F760" s="200">
        <v>23</v>
      </c>
      <c r="G760" s="15" t="s">
        <v>51</v>
      </c>
      <c r="K760" s="16"/>
    </row>
    <row r="761" spans="1:11" ht="15" customHeight="1">
      <c r="A761" s="367"/>
      <c r="B761" s="268"/>
      <c r="C761" s="324"/>
      <c r="D761" s="390" t="s">
        <v>487</v>
      </c>
      <c r="E761" s="391"/>
      <c r="F761" s="200">
        <v>13</v>
      </c>
      <c r="G761" s="15" t="s">
        <v>51</v>
      </c>
      <c r="K761" s="16"/>
    </row>
    <row r="762" spans="1:11" ht="15" customHeight="1">
      <c r="A762" s="367"/>
      <c r="B762" s="268"/>
      <c r="C762" s="324"/>
      <c r="D762" s="390" t="s">
        <v>488</v>
      </c>
      <c r="E762" s="391"/>
      <c r="F762" s="200">
        <v>17</v>
      </c>
      <c r="G762" s="15" t="s">
        <v>51</v>
      </c>
      <c r="K762" s="16"/>
    </row>
    <row r="763" spans="1:11" ht="15" customHeight="1">
      <c r="A763" s="367"/>
      <c r="B763" s="268"/>
      <c r="C763" s="324"/>
      <c r="D763" s="390" t="s">
        <v>489</v>
      </c>
      <c r="E763" s="391"/>
      <c r="F763" s="200">
        <v>19</v>
      </c>
      <c r="G763" s="15" t="s">
        <v>51</v>
      </c>
      <c r="K763" s="16"/>
    </row>
    <row r="764" spans="1:11" ht="18">
      <c r="A764" s="367"/>
      <c r="B764" s="268"/>
      <c r="C764" s="324"/>
      <c r="D764" s="201" t="s">
        <v>490</v>
      </c>
      <c r="E764" s="202"/>
      <c r="F764" s="203">
        <f>IF(SUM(F758:F760)&gt;=300,1,2)</f>
        <v>2</v>
      </c>
      <c r="K764" s="16"/>
    </row>
    <row r="765" spans="1:11" ht="15" customHeight="1">
      <c r="A765" s="367"/>
      <c r="B765" s="268"/>
      <c r="C765" s="324"/>
      <c r="D765" s="390" t="s">
        <v>491</v>
      </c>
      <c r="E765" s="391"/>
      <c r="F765" s="204">
        <f>IF(SUM(F758:F760)&gt;0,SUM(F761:F763)/SUM(F758:F760),0)</f>
        <v>0.765625</v>
      </c>
      <c r="K765" s="16"/>
    </row>
    <row r="766" spans="1:11" ht="18">
      <c r="A766" s="367"/>
      <c r="B766" s="268"/>
      <c r="C766" s="324"/>
      <c r="D766" s="205" t="s">
        <v>492</v>
      </c>
      <c r="E766" s="206"/>
      <c r="F766" s="207">
        <f>IF(F764=1,30%,50%-SUM(F758:F760)/300*20%)</f>
        <v>0.45733333333333331</v>
      </c>
      <c r="K766" s="16"/>
    </row>
    <row r="767" spans="1:11" ht="48.75" customHeight="1">
      <c r="A767" s="367"/>
      <c r="B767" s="256"/>
      <c r="C767" s="325"/>
      <c r="D767" s="395" t="s">
        <v>493</v>
      </c>
      <c r="E767" s="395"/>
      <c r="F767" s="208"/>
      <c r="K767" s="16"/>
    </row>
    <row r="768" spans="1:11" ht="14.45" customHeight="1">
      <c r="A768" s="367"/>
      <c r="B768" s="256"/>
      <c r="C768" s="325"/>
      <c r="D768" s="348" t="s">
        <v>494</v>
      </c>
      <c r="E768" s="209" t="s">
        <v>495</v>
      </c>
      <c r="F768" s="210">
        <v>10</v>
      </c>
      <c r="G768" s="15" t="s">
        <v>51</v>
      </c>
      <c r="K768" s="16"/>
    </row>
    <row r="769" spans="1:11" ht="15" customHeight="1">
      <c r="A769" s="367"/>
      <c r="B769" s="256"/>
      <c r="C769" s="325"/>
      <c r="D769" s="349"/>
      <c r="E769" s="209" t="s">
        <v>496</v>
      </c>
      <c r="F769" s="210">
        <v>2</v>
      </c>
      <c r="G769" s="15" t="s">
        <v>51</v>
      </c>
      <c r="K769" s="16"/>
    </row>
    <row r="770" spans="1:11" ht="15" customHeight="1">
      <c r="A770" s="367"/>
      <c r="B770" s="256"/>
      <c r="C770" s="325"/>
      <c r="D770" s="350"/>
      <c r="E770" s="209" t="s">
        <v>497</v>
      </c>
      <c r="F770" s="210">
        <v>1</v>
      </c>
      <c r="G770" s="15" t="s">
        <v>51</v>
      </c>
      <c r="K770" s="16"/>
    </row>
    <row r="771" spans="1:11" ht="14.45" customHeight="1">
      <c r="A771" s="367"/>
      <c r="B771" s="256"/>
      <c r="C771" s="325"/>
      <c r="D771" s="348" t="s">
        <v>498</v>
      </c>
      <c r="E771" s="209" t="s">
        <v>495</v>
      </c>
      <c r="F771" s="210">
        <v>14</v>
      </c>
      <c r="G771" s="15" t="s">
        <v>51</v>
      </c>
      <c r="K771" s="16"/>
    </row>
    <row r="772" spans="1:11" ht="15" customHeight="1">
      <c r="A772" s="367"/>
      <c r="B772" s="256"/>
      <c r="C772" s="325"/>
      <c r="D772" s="349"/>
      <c r="E772" s="209" t="s">
        <v>496</v>
      </c>
      <c r="F772" s="210">
        <v>3</v>
      </c>
      <c r="G772" s="15" t="s">
        <v>51</v>
      </c>
      <c r="K772" s="16"/>
    </row>
    <row r="773" spans="1:11" ht="15" customHeight="1">
      <c r="A773" s="367"/>
      <c r="B773" s="256"/>
      <c r="C773" s="325"/>
      <c r="D773" s="350"/>
      <c r="E773" s="209" t="s">
        <v>497</v>
      </c>
      <c r="F773" s="210">
        <v>0</v>
      </c>
      <c r="G773" s="15" t="s">
        <v>51</v>
      </c>
      <c r="K773" s="16"/>
    </row>
    <row r="774" spans="1:11" ht="14.45" customHeight="1">
      <c r="A774" s="367"/>
      <c r="B774" s="256"/>
      <c r="C774" s="325"/>
      <c r="D774" s="348" t="s">
        <v>499</v>
      </c>
      <c r="E774" s="209" t="s">
        <v>495</v>
      </c>
      <c r="F774" s="210">
        <v>16</v>
      </c>
      <c r="G774" s="15" t="s">
        <v>51</v>
      </c>
      <c r="K774" s="16"/>
    </row>
    <row r="775" spans="1:11" ht="15" customHeight="1">
      <c r="A775" s="367"/>
      <c r="B775" s="256"/>
      <c r="C775" s="325"/>
      <c r="D775" s="349"/>
      <c r="E775" s="209" t="s">
        <v>496</v>
      </c>
      <c r="F775" s="210">
        <v>2</v>
      </c>
      <c r="G775" s="15" t="s">
        <v>51</v>
      </c>
      <c r="K775" s="16"/>
    </row>
    <row r="776" spans="1:11" ht="15" customHeight="1">
      <c r="A776" s="367"/>
      <c r="B776" s="256"/>
      <c r="C776" s="325"/>
      <c r="D776" s="350"/>
      <c r="E776" s="209" t="s">
        <v>497</v>
      </c>
      <c r="F776" s="210">
        <v>1</v>
      </c>
      <c r="G776" s="15" t="s">
        <v>51</v>
      </c>
      <c r="K776" s="16"/>
    </row>
    <row r="777" spans="1:11" ht="14.45" hidden="1" customHeight="1">
      <c r="A777" s="367"/>
      <c r="B777" s="256"/>
      <c r="C777" s="325"/>
      <c r="D777" s="83" t="s">
        <v>142</v>
      </c>
      <c r="E777" s="212">
        <v>3</v>
      </c>
      <c r="F777" s="84"/>
      <c r="K777" s="16"/>
    </row>
    <row r="778" spans="1:11" ht="14.45" hidden="1" customHeight="1">
      <c r="A778" s="367"/>
      <c r="B778" s="256"/>
      <c r="C778" s="325"/>
      <c r="D778" s="83" t="s">
        <v>143</v>
      </c>
      <c r="E778" s="212">
        <v>6</v>
      </c>
      <c r="F778" s="84"/>
      <c r="K778" s="16"/>
    </row>
    <row r="779" spans="1:11" ht="14.45" hidden="1" customHeight="1">
      <c r="A779" s="367"/>
      <c r="B779" s="256"/>
      <c r="C779" s="325"/>
      <c r="D779" s="83" t="s">
        <v>161</v>
      </c>
      <c r="E779" s="212">
        <v>12</v>
      </c>
      <c r="F779" s="84"/>
      <c r="K779" s="16"/>
    </row>
    <row r="780" spans="1:11" ht="29.1" hidden="1" customHeight="1">
      <c r="A780" s="367"/>
      <c r="B780" s="256"/>
      <c r="C780" s="325"/>
      <c r="D780" s="109" t="s">
        <v>500</v>
      </c>
      <c r="E780" s="213">
        <f>AVERAGE(0,E777)</f>
        <v>1.5</v>
      </c>
      <c r="F780" s="111"/>
      <c r="K780" s="16"/>
    </row>
    <row r="781" spans="1:11" ht="29.1" hidden="1" customHeight="1">
      <c r="A781" s="367"/>
      <c r="B781" s="256"/>
      <c r="C781" s="325"/>
      <c r="D781" s="109" t="s">
        <v>501</v>
      </c>
      <c r="E781" s="213">
        <f>AVERAGE(E777,E778)</f>
        <v>4.5</v>
      </c>
      <c r="F781" s="111"/>
      <c r="K781" s="16"/>
    </row>
    <row r="782" spans="1:11" ht="29.1" hidden="1" customHeight="1">
      <c r="A782" s="367"/>
      <c r="B782" s="256"/>
      <c r="C782" s="325"/>
      <c r="D782" s="109" t="s">
        <v>502</v>
      </c>
      <c r="E782" s="213">
        <f>AVERAGE(E778,E779)</f>
        <v>9</v>
      </c>
      <c r="F782" s="111"/>
      <c r="K782" s="16"/>
    </row>
    <row r="783" spans="1:11" ht="15" customHeight="1">
      <c r="A783" s="367"/>
      <c r="B783" s="256"/>
      <c r="C783" s="325"/>
      <c r="D783" s="393" t="s">
        <v>503</v>
      </c>
      <c r="E783" s="394"/>
      <c r="F783" s="214">
        <f>IF(SUM(F768:F776)&gt;0,((F768+F771+F774)*E780+(F769+F772+F775)*E781+(F770+F773+F776)*E782)/SUM(F768:F776),0)</f>
        <v>2.2346938775510203</v>
      </c>
      <c r="K783" s="16"/>
    </row>
    <row r="784" spans="1:11" ht="15" customHeight="1">
      <c r="A784" s="367"/>
      <c r="B784" s="256"/>
      <c r="C784" s="325"/>
      <c r="D784" s="393" t="s">
        <v>504</v>
      </c>
      <c r="E784" s="394"/>
      <c r="F784" s="81">
        <f>IF(F783&gt;=E778,0,IF(F783&gt;3,-4/(E778-E777)*(F783-E777)+4,4))</f>
        <v>4</v>
      </c>
      <c r="K784" s="16"/>
    </row>
    <row r="785" spans="1:11">
      <c r="A785" s="368"/>
      <c r="B785" s="257"/>
      <c r="C785" s="326"/>
      <c r="D785" s="371" t="s">
        <v>27</v>
      </c>
      <c r="E785" s="372"/>
      <c r="F785" s="63">
        <f>IF(F765&gt;=F766,F784,F765/F766*F784)</f>
        <v>4</v>
      </c>
      <c r="K785" s="16"/>
    </row>
    <row r="786" spans="1:11">
      <c r="D786" s="95"/>
      <c r="E786" s="96"/>
      <c r="K786" s="97"/>
    </row>
    <row r="787" spans="1:11" ht="29.25" customHeight="1">
      <c r="A787" s="366">
        <v>61</v>
      </c>
      <c r="B787" s="267"/>
      <c r="C787" s="323"/>
      <c r="D787" s="398" t="s">
        <v>505</v>
      </c>
      <c r="E787" s="399"/>
      <c r="F787" s="78"/>
      <c r="K787" s="58"/>
    </row>
    <row r="788" spans="1:11" ht="15" customHeight="1">
      <c r="A788" s="367"/>
      <c r="B788" s="268"/>
      <c r="C788" s="324"/>
      <c r="D788" s="390" t="s">
        <v>484</v>
      </c>
      <c r="E788" s="391"/>
      <c r="F788" s="200">
        <v>20</v>
      </c>
      <c r="G788" s="15" t="s">
        <v>51</v>
      </c>
      <c r="K788" s="16"/>
    </row>
    <row r="789" spans="1:11" ht="15" customHeight="1">
      <c r="A789" s="367"/>
      <c r="B789" s="268"/>
      <c r="C789" s="324"/>
      <c r="D789" s="390" t="s">
        <v>485</v>
      </c>
      <c r="E789" s="391"/>
      <c r="F789" s="200">
        <v>21</v>
      </c>
      <c r="G789" s="15" t="s">
        <v>51</v>
      </c>
      <c r="K789" s="16"/>
    </row>
    <row r="790" spans="1:11" ht="15" customHeight="1">
      <c r="A790" s="367"/>
      <c r="B790" s="268"/>
      <c r="C790" s="324"/>
      <c r="D790" s="390" t="s">
        <v>486</v>
      </c>
      <c r="E790" s="391"/>
      <c r="F790" s="200">
        <v>23</v>
      </c>
      <c r="G790" s="15" t="s">
        <v>51</v>
      </c>
      <c r="K790" s="16"/>
    </row>
    <row r="791" spans="1:11" ht="15" customHeight="1">
      <c r="A791" s="367"/>
      <c r="B791" s="268"/>
      <c r="C791" s="324"/>
      <c r="D791" s="390" t="s">
        <v>487</v>
      </c>
      <c r="E791" s="391"/>
      <c r="F791" s="200">
        <v>13</v>
      </c>
      <c r="G791" s="15" t="s">
        <v>51</v>
      </c>
      <c r="K791" s="16"/>
    </row>
    <row r="792" spans="1:11" ht="15" customHeight="1">
      <c r="A792" s="367"/>
      <c r="B792" s="268"/>
      <c r="C792" s="324"/>
      <c r="D792" s="390" t="s">
        <v>488</v>
      </c>
      <c r="E792" s="391"/>
      <c r="F792" s="200">
        <v>17</v>
      </c>
      <c r="G792" s="15" t="s">
        <v>51</v>
      </c>
      <c r="K792" s="16"/>
    </row>
    <row r="793" spans="1:11" ht="15" customHeight="1">
      <c r="A793" s="367"/>
      <c r="B793" s="268"/>
      <c r="C793" s="324"/>
      <c r="D793" s="390" t="s">
        <v>506</v>
      </c>
      <c r="E793" s="391"/>
      <c r="F793" s="200">
        <v>19</v>
      </c>
      <c r="G793" s="15" t="s">
        <v>51</v>
      </c>
      <c r="K793" s="16"/>
    </row>
    <row r="794" spans="1:11" ht="18">
      <c r="A794" s="367"/>
      <c r="B794" s="268"/>
      <c r="C794" s="324"/>
      <c r="D794" s="201" t="s">
        <v>490</v>
      </c>
      <c r="E794" s="202"/>
      <c r="F794" s="203">
        <f>IF(SUM(F788:F790)&gt;=300,1,2)</f>
        <v>2</v>
      </c>
      <c r="K794" s="16"/>
    </row>
    <row r="795" spans="1:11" ht="15" customHeight="1">
      <c r="A795" s="367"/>
      <c r="B795" s="268"/>
      <c r="C795" s="324"/>
      <c r="D795" s="390" t="s">
        <v>491</v>
      </c>
      <c r="E795" s="391"/>
      <c r="F795" s="204">
        <f>IF(SUM(F788:F790)&gt;0,SUM(F791:F793)/SUM(F788:F790),0)</f>
        <v>0.765625</v>
      </c>
      <c r="K795" s="16"/>
    </row>
    <row r="796" spans="1:11" ht="18">
      <c r="A796" s="367"/>
      <c r="B796" s="268"/>
      <c r="C796" s="324"/>
      <c r="D796" s="205" t="s">
        <v>492</v>
      </c>
      <c r="E796" s="206"/>
      <c r="F796" s="207">
        <f>IF(F794=1,30%,50%-SUM(F788:F790)/300*20%)</f>
        <v>0.45733333333333331</v>
      </c>
      <c r="K796" s="16"/>
    </row>
    <row r="797" spans="1:11" ht="48.75" customHeight="1">
      <c r="A797" s="367"/>
      <c r="B797" s="256"/>
      <c r="C797" s="325"/>
      <c r="D797" s="395" t="s">
        <v>507</v>
      </c>
      <c r="E797" s="395"/>
      <c r="F797" s="208"/>
      <c r="K797" s="16"/>
    </row>
    <row r="798" spans="1:11" ht="14.45" customHeight="1">
      <c r="A798" s="367"/>
      <c r="B798" s="256"/>
      <c r="C798" s="325"/>
      <c r="D798" s="348" t="s">
        <v>494</v>
      </c>
      <c r="E798" s="209" t="s">
        <v>508</v>
      </c>
      <c r="F798" s="215">
        <v>5</v>
      </c>
      <c r="G798" s="15" t="s">
        <v>51</v>
      </c>
      <c r="K798" s="16"/>
    </row>
    <row r="799" spans="1:11" ht="15" customHeight="1">
      <c r="A799" s="367"/>
      <c r="B799" s="256"/>
      <c r="C799" s="325"/>
      <c r="D799" s="349"/>
      <c r="E799" s="209" t="s">
        <v>509</v>
      </c>
      <c r="F799" s="215">
        <v>4</v>
      </c>
      <c r="G799" s="15" t="s">
        <v>51</v>
      </c>
      <c r="K799" s="16"/>
    </row>
    <row r="800" spans="1:11" ht="15" customHeight="1">
      <c r="A800" s="367"/>
      <c r="B800" s="256"/>
      <c r="C800" s="325"/>
      <c r="D800" s="350"/>
      <c r="E800" s="209" t="s">
        <v>510</v>
      </c>
      <c r="F800" s="215">
        <v>4</v>
      </c>
      <c r="G800" s="15" t="s">
        <v>51</v>
      </c>
      <c r="K800" s="16"/>
    </row>
    <row r="801" spans="1:11" ht="14.45" customHeight="1">
      <c r="A801" s="367"/>
      <c r="B801" s="256"/>
      <c r="C801" s="325"/>
      <c r="D801" s="348" t="s">
        <v>498</v>
      </c>
      <c r="E801" s="209" t="s">
        <v>508</v>
      </c>
      <c r="F801" s="215">
        <v>4</v>
      </c>
      <c r="G801" s="15" t="s">
        <v>51</v>
      </c>
      <c r="K801" s="16"/>
    </row>
    <row r="802" spans="1:11" ht="15" customHeight="1">
      <c r="A802" s="367"/>
      <c r="B802" s="256"/>
      <c r="C802" s="325"/>
      <c r="D802" s="349"/>
      <c r="E802" s="209" t="s">
        <v>509</v>
      </c>
      <c r="F802" s="215">
        <v>7</v>
      </c>
      <c r="G802" s="15" t="s">
        <v>51</v>
      </c>
      <c r="K802" s="16"/>
    </row>
    <row r="803" spans="1:11" ht="15" customHeight="1">
      <c r="A803" s="367"/>
      <c r="B803" s="256"/>
      <c r="C803" s="325"/>
      <c r="D803" s="350"/>
      <c r="E803" s="209" t="s">
        <v>510</v>
      </c>
      <c r="F803" s="215">
        <v>6</v>
      </c>
      <c r="G803" s="15" t="s">
        <v>51</v>
      </c>
      <c r="K803" s="16"/>
    </row>
    <row r="804" spans="1:11" ht="14.45" customHeight="1">
      <c r="A804" s="367"/>
      <c r="B804" s="256"/>
      <c r="C804" s="325"/>
      <c r="D804" s="348" t="s">
        <v>499</v>
      </c>
      <c r="E804" s="209" t="s">
        <v>508</v>
      </c>
      <c r="F804" s="215">
        <v>4</v>
      </c>
      <c r="G804" s="15" t="s">
        <v>51</v>
      </c>
      <c r="K804" s="16"/>
    </row>
    <row r="805" spans="1:11" ht="15" customHeight="1">
      <c r="A805" s="367"/>
      <c r="B805" s="256"/>
      <c r="C805" s="325"/>
      <c r="D805" s="349"/>
      <c r="E805" s="209" t="s">
        <v>509</v>
      </c>
      <c r="F805" s="215">
        <v>9</v>
      </c>
      <c r="G805" s="15" t="s">
        <v>51</v>
      </c>
      <c r="K805" s="16"/>
    </row>
    <row r="806" spans="1:11" ht="15" customHeight="1">
      <c r="A806" s="367"/>
      <c r="B806" s="256"/>
      <c r="C806" s="325"/>
      <c r="D806" s="350"/>
      <c r="E806" s="209" t="s">
        <v>510</v>
      </c>
      <c r="F806" s="215">
        <v>8</v>
      </c>
      <c r="G806" s="15" t="s">
        <v>51</v>
      </c>
      <c r="K806" s="16"/>
    </row>
    <row r="807" spans="1:11" ht="14.45" hidden="1" customHeight="1">
      <c r="A807" s="367"/>
      <c r="B807" s="256"/>
      <c r="C807" s="325"/>
      <c r="D807" s="83" t="s">
        <v>109</v>
      </c>
      <c r="E807" s="216">
        <v>0.6</v>
      </c>
      <c r="F807" s="84"/>
      <c r="K807" s="16"/>
    </row>
    <row r="808" spans="1:11" ht="14.45" hidden="1" customHeight="1">
      <c r="A808" s="367"/>
      <c r="B808" s="256"/>
      <c r="C808" s="325"/>
      <c r="D808" s="109" t="s">
        <v>142</v>
      </c>
      <c r="E808" s="217">
        <v>0.3</v>
      </c>
      <c r="F808" s="111" t="s">
        <v>511</v>
      </c>
      <c r="K808" s="16"/>
    </row>
    <row r="809" spans="1:11" ht="14.45" hidden="1" customHeight="1">
      <c r="A809" s="367"/>
      <c r="B809" s="256"/>
      <c r="C809" s="325"/>
      <c r="D809" s="109" t="s">
        <v>143</v>
      </c>
      <c r="E809" s="217">
        <v>0.7</v>
      </c>
      <c r="F809" s="111" t="s">
        <v>512</v>
      </c>
      <c r="K809" s="16"/>
    </row>
    <row r="810" spans="1:11" ht="14.45" hidden="1" customHeight="1">
      <c r="A810" s="367"/>
      <c r="B810" s="256"/>
      <c r="C810" s="325"/>
      <c r="D810" s="109" t="s">
        <v>161</v>
      </c>
      <c r="E810" s="217">
        <v>1</v>
      </c>
      <c r="F810" s="111" t="s">
        <v>513</v>
      </c>
      <c r="K810" s="16"/>
    </row>
    <row r="811" spans="1:11" ht="15" customHeight="1">
      <c r="A811" s="367"/>
      <c r="B811" s="256"/>
      <c r="C811" s="325"/>
      <c r="D811" s="393" t="s">
        <v>514</v>
      </c>
      <c r="E811" s="394"/>
      <c r="F811" s="127">
        <f>IF(SUM(F798:F806)&gt;0,((F798+F801+F804)*E808+(F799+F802+F805)*E809+(F800+F803+F806)*E810)/SUM(F798:F806),0)</f>
        <v>0.70392156862745092</v>
      </c>
      <c r="K811" s="16"/>
    </row>
    <row r="812" spans="1:11" ht="15" customHeight="1">
      <c r="A812" s="367"/>
      <c r="B812" s="256"/>
      <c r="C812" s="325"/>
      <c r="D812" s="393" t="s">
        <v>504</v>
      </c>
      <c r="E812" s="394"/>
      <c r="F812" s="81">
        <f>IF(F811&gt;=80%,4,5*F811)</f>
        <v>3.5196078431372548</v>
      </c>
      <c r="K812" s="16"/>
    </row>
    <row r="813" spans="1:11">
      <c r="A813" s="368"/>
      <c r="B813" s="257"/>
      <c r="C813" s="326"/>
      <c r="D813" s="371" t="s">
        <v>27</v>
      </c>
      <c r="E813" s="372"/>
      <c r="F813" s="63">
        <f>IF(F795&gt;=F796,F812,F795/F796*F812)</f>
        <v>3.5196078431372548</v>
      </c>
      <c r="K813" s="16"/>
    </row>
    <row r="814" spans="1:11">
      <c r="D814" s="95"/>
      <c r="E814" s="96"/>
      <c r="K814" s="97"/>
    </row>
    <row r="815" spans="1:11" ht="29.25" customHeight="1">
      <c r="A815" s="366">
        <v>62</v>
      </c>
      <c r="B815" s="267"/>
      <c r="C815" s="323"/>
      <c r="D815" s="398" t="s">
        <v>515</v>
      </c>
      <c r="E815" s="399"/>
      <c r="F815" s="78"/>
      <c r="K815" s="58"/>
    </row>
    <row r="816" spans="1:11" ht="15" customHeight="1">
      <c r="A816" s="367"/>
      <c r="B816" s="268"/>
      <c r="C816" s="324"/>
      <c r="D816" s="390" t="s">
        <v>484</v>
      </c>
      <c r="E816" s="391"/>
      <c r="F816" s="200">
        <v>20</v>
      </c>
      <c r="G816" s="15" t="s">
        <v>51</v>
      </c>
      <c r="K816" s="16"/>
    </row>
    <row r="817" spans="1:11" ht="15" customHeight="1">
      <c r="A817" s="367"/>
      <c r="B817" s="268"/>
      <c r="C817" s="324"/>
      <c r="D817" s="390" t="s">
        <v>485</v>
      </c>
      <c r="E817" s="391"/>
      <c r="F817" s="200">
        <v>21</v>
      </c>
      <c r="G817" s="15" t="s">
        <v>51</v>
      </c>
      <c r="K817" s="16"/>
    </row>
    <row r="818" spans="1:11" ht="15" customHeight="1">
      <c r="A818" s="367"/>
      <c r="B818" s="268"/>
      <c r="C818" s="324"/>
      <c r="D818" s="390" t="s">
        <v>486</v>
      </c>
      <c r="E818" s="391"/>
      <c r="F818" s="200">
        <v>23</v>
      </c>
      <c r="G818" s="15" t="s">
        <v>51</v>
      </c>
      <c r="K818" s="16"/>
    </row>
    <row r="819" spans="1:11" ht="15" customHeight="1">
      <c r="A819" s="367"/>
      <c r="B819" s="268"/>
      <c r="C819" s="324"/>
      <c r="D819" s="390" t="s">
        <v>516</v>
      </c>
      <c r="E819" s="391"/>
      <c r="F819" s="200">
        <v>13</v>
      </c>
      <c r="G819" s="15" t="s">
        <v>51</v>
      </c>
      <c r="K819" s="16"/>
    </row>
    <row r="820" spans="1:11" ht="15" customHeight="1">
      <c r="A820" s="367"/>
      <c r="B820" s="268"/>
      <c r="C820" s="324"/>
      <c r="D820" s="390" t="s">
        <v>517</v>
      </c>
      <c r="E820" s="391"/>
      <c r="F820" s="200">
        <v>17</v>
      </c>
      <c r="G820" s="15" t="s">
        <v>51</v>
      </c>
      <c r="K820" s="16"/>
    </row>
    <row r="821" spans="1:11" ht="15" customHeight="1">
      <c r="A821" s="367"/>
      <c r="B821" s="268"/>
      <c r="C821" s="324"/>
      <c r="D821" s="390" t="s">
        <v>518</v>
      </c>
      <c r="E821" s="391"/>
      <c r="F821" s="200">
        <v>19</v>
      </c>
      <c r="G821" s="15" t="s">
        <v>51</v>
      </c>
      <c r="K821" s="16"/>
    </row>
    <row r="822" spans="1:11" ht="18">
      <c r="A822" s="367"/>
      <c r="B822" s="268"/>
      <c r="C822" s="324"/>
      <c r="D822" s="201" t="s">
        <v>490</v>
      </c>
      <c r="E822" s="202"/>
      <c r="F822" s="203">
        <f>IF(SUM(F816:F818)&gt;=300,1,2)</f>
        <v>2</v>
      </c>
      <c r="K822" s="16"/>
    </row>
    <row r="823" spans="1:11" ht="15" customHeight="1">
      <c r="A823" s="367"/>
      <c r="B823" s="268"/>
      <c r="C823" s="324"/>
      <c r="D823" s="390" t="s">
        <v>491</v>
      </c>
      <c r="E823" s="391"/>
      <c r="F823" s="204">
        <f>IF(SUM(F816:F818)&gt;0,SUM(F819:F821)/SUM(F816:F818),0)</f>
        <v>0.765625</v>
      </c>
      <c r="K823" s="16"/>
    </row>
    <row r="824" spans="1:11" ht="18">
      <c r="A824" s="367"/>
      <c r="B824" s="268"/>
      <c r="C824" s="324"/>
      <c r="D824" s="205" t="s">
        <v>492</v>
      </c>
      <c r="E824" s="206"/>
      <c r="F824" s="207">
        <f>IF(F822=1,30%,50%-SUM(F816:F818)/300*20%)</f>
        <v>0.45733333333333331</v>
      </c>
      <c r="K824" s="16"/>
    </row>
    <row r="825" spans="1:11" ht="48.75" customHeight="1">
      <c r="A825" s="367"/>
      <c r="B825" s="256"/>
      <c r="C825" s="325"/>
      <c r="D825" s="395" t="s">
        <v>519</v>
      </c>
      <c r="E825" s="395"/>
      <c r="F825" s="208"/>
      <c r="K825" s="16"/>
    </row>
    <row r="826" spans="1:11" ht="30" customHeight="1">
      <c r="A826" s="367"/>
      <c r="B826" s="256"/>
      <c r="C826" s="325"/>
      <c r="D826" s="348" t="s">
        <v>520</v>
      </c>
      <c r="E826" s="209" t="s">
        <v>521</v>
      </c>
      <c r="F826" s="215">
        <v>0</v>
      </c>
      <c r="G826" s="15" t="s">
        <v>51</v>
      </c>
      <c r="K826" s="16"/>
    </row>
    <row r="827" spans="1:11" ht="30">
      <c r="A827" s="367"/>
      <c r="B827" s="256"/>
      <c r="C827" s="325"/>
      <c r="D827" s="349"/>
      <c r="E827" s="209" t="s">
        <v>522</v>
      </c>
      <c r="F827" s="215">
        <v>8</v>
      </c>
      <c r="G827" s="15" t="s">
        <v>51</v>
      </c>
      <c r="K827" s="16"/>
    </row>
    <row r="828" spans="1:11" ht="30">
      <c r="A828" s="367"/>
      <c r="B828" s="256"/>
      <c r="C828" s="325"/>
      <c r="D828" s="350"/>
      <c r="E828" s="209" t="s">
        <v>523</v>
      </c>
      <c r="F828" s="215">
        <v>5</v>
      </c>
      <c r="G828" s="15" t="s">
        <v>51</v>
      </c>
      <c r="K828" s="16"/>
    </row>
    <row r="829" spans="1:11" ht="30" customHeight="1">
      <c r="A829" s="367"/>
      <c r="B829" s="256"/>
      <c r="C829" s="325"/>
      <c r="D829" s="348" t="s">
        <v>524</v>
      </c>
      <c r="E829" s="209" t="s">
        <v>521</v>
      </c>
      <c r="F829" s="215">
        <v>0</v>
      </c>
      <c r="G829" s="15" t="s">
        <v>51</v>
      </c>
      <c r="K829" s="16"/>
    </row>
    <row r="830" spans="1:11" ht="30">
      <c r="A830" s="367"/>
      <c r="B830" s="256"/>
      <c r="C830" s="325"/>
      <c r="D830" s="349"/>
      <c r="E830" s="209" t="s">
        <v>522</v>
      </c>
      <c r="F830" s="215">
        <v>11</v>
      </c>
      <c r="G830" s="15" t="s">
        <v>51</v>
      </c>
      <c r="K830" s="16"/>
    </row>
    <row r="831" spans="1:11" ht="30">
      <c r="A831" s="367"/>
      <c r="B831" s="256"/>
      <c r="C831" s="325"/>
      <c r="D831" s="350"/>
      <c r="E831" s="209" t="s">
        <v>523</v>
      </c>
      <c r="F831" s="215">
        <v>6</v>
      </c>
      <c r="G831" s="15" t="s">
        <v>51</v>
      </c>
      <c r="K831" s="16"/>
    </row>
    <row r="832" spans="1:11" ht="30" customHeight="1">
      <c r="A832" s="367"/>
      <c r="B832" s="256"/>
      <c r="C832" s="325"/>
      <c r="D832" s="348" t="s">
        <v>525</v>
      </c>
      <c r="E832" s="209" t="s">
        <v>521</v>
      </c>
      <c r="F832" s="215">
        <v>0</v>
      </c>
      <c r="G832" s="15" t="s">
        <v>51</v>
      </c>
      <c r="K832" s="16"/>
    </row>
    <row r="833" spans="1:11" ht="30">
      <c r="A833" s="367"/>
      <c r="B833" s="256"/>
      <c r="C833" s="325"/>
      <c r="D833" s="349"/>
      <c r="E833" s="209" t="s">
        <v>522</v>
      </c>
      <c r="F833" s="215">
        <v>10</v>
      </c>
      <c r="G833" s="15" t="s">
        <v>51</v>
      </c>
      <c r="K833" s="16"/>
    </row>
    <row r="834" spans="1:11" ht="30">
      <c r="A834" s="367"/>
      <c r="B834" s="256"/>
      <c r="C834" s="325"/>
      <c r="D834" s="350"/>
      <c r="E834" s="209" t="s">
        <v>523</v>
      </c>
      <c r="F834" s="215">
        <v>9</v>
      </c>
      <c r="G834" s="15" t="s">
        <v>51</v>
      </c>
      <c r="K834" s="16"/>
    </row>
    <row r="835" spans="1:11" ht="15" customHeight="1">
      <c r="A835" s="367"/>
      <c r="B835" s="256"/>
      <c r="C835" s="325"/>
      <c r="D835" s="393" t="s">
        <v>526</v>
      </c>
      <c r="E835" s="394"/>
      <c r="F835" s="191">
        <f>IF(SUM(F826:F834)&gt;0,(F826+F829+F832)/SUM(F826:F834),0)</f>
        <v>0</v>
      </c>
      <c r="J835" s="82"/>
      <c r="K835" s="16"/>
    </row>
    <row r="836" spans="1:11" ht="15.75" customHeight="1">
      <c r="A836" s="367"/>
      <c r="B836" s="256"/>
      <c r="C836" s="325"/>
      <c r="D836" s="393" t="s">
        <v>527</v>
      </c>
      <c r="E836" s="394"/>
      <c r="F836" s="191">
        <f>IF(SUM(F826:F834)&gt;0,(F827+F830+F833)/SUM(F826:F834),0)</f>
        <v>0.59183673469387754</v>
      </c>
      <c r="J836" s="82"/>
      <c r="K836" s="16"/>
    </row>
    <row r="837" spans="1:11" ht="15.75" customHeight="1">
      <c r="A837" s="367"/>
      <c r="B837" s="256"/>
      <c r="C837" s="325"/>
      <c r="D837" s="393" t="s">
        <v>528</v>
      </c>
      <c r="E837" s="394"/>
      <c r="F837" s="191">
        <f>IF(SUM(F826:F834)&gt;0,(F828+F831+F834)/SUM(F826:F834),0)</f>
        <v>0.40816326530612246</v>
      </c>
      <c r="J837" s="82"/>
      <c r="K837" s="16"/>
    </row>
    <row r="838" spans="1:11" ht="15.75" hidden="1" customHeight="1">
      <c r="A838" s="367"/>
      <c r="B838" s="256"/>
      <c r="C838" s="325"/>
      <c r="D838" s="83" t="s">
        <v>56</v>
      </c>
      <c r="E838" s="216">
        <v>0.05</v>
      </c>
      <c r="F838" s="84"/>
      <c r="J838" s="82"/>
      <c r="K838" s="16"/>
    </row>
    <row r="839" spans="1:11" ht="15.75" hidden="1" customHeight="1">
      <c r="A839" s="367"/>
      <c r="B839" s="256"/>
      <c r="C839" s="325"/>
      <c r="D839" s="83" t="s">
        <v>57</v>
      </c>
      <c r="E839" s="216">
        <v>0.2</v>
      </c>
      <c r="F839" s="84"/>
      <c r="J839" s="82"/>
      <c r="K839" s="16"/>
    </row>
    <row r="840" spans="1:11" ht="15.75" hidden="1" customHeight="1">
      <c r="A840" s="367"/>
      <c r="B840" s="256"/>
      <c r="C840" s="325"/>
      <c r="D840" s="83" t="s">
        <v>58</v>
      </c>
      <c r="E840" s="216">
        <v>0.9</v>
      </c>
      <c r="F840" s="84"/>
      <c r="J840" s="82"/>
      <c r="K840" s="16"/>
    </row>
    <row r="841" spans="1:11" ht="15.75" hidden="1" customHeight="1">
      <c r="A841" s="367"/>
      <c r="B841" s="256"/>
      <c r="C841" s="325"/>
      <c r="D841" s="89"/>
      <c r="E841" s="90" t="s">
        <v>189</v>
      </c>
      <c r="F841" s="91" t="str">
        <f>IF(F835&gt;=E838,"YES","NO")</f>
        <v>NO</v>
      </c>
      <c r="J841" s="82"/>
      <c r="K841" s="16"/>
    </row>
    <row r="842" spans="1:11" ht="15.75" hidden="1" customHeight="1">
      <c r="A842" s="367"/>
      <c r="B842" s="256"/>
      <c r="C842" s="325"/>
      <c r="D842" s="89"/>
      <c r="E842" s="90" t="s">
        <v>190</v>
      </c>
      <c r="F842" s="91" t="str">
        <f>IF(AND(F835&lt;E838,F836&gt;=E839),"YES","NO")</f>
        <v>YES</v>
      </c>
      <c r="J842" s="82"/>
      <c r="K842" s="16"/>
    </row>
    <row r="843" spans="1:11" ht="15.75" hidden="1" customHeight="1">
      <c r="A843" s="367"/>
      <c r="B843" s="256"/>
      <c r="C843" s="325"/>
      <c r="D843" s="89"/>
      <c r="E843" s="90" t="s">
        <v>191</v>
      </c>
      <c r="F843" s="91" t="str">
        <f>IF(OR(AND(F835&gt;0,F835&lt;E838,F836=0),AND(F836&gt;0,F836&lt;E839,F835=0),AND(F835&gt;0,F835&lt;E838,F836&gt;0,F836&lt;E839)),"YES","NO")</f>
        <v>NO</v>
      </c>
      <c r="J843" s="82"/>
      <c r="K843" s="16"/>
    </row>
    <row r="844" spans="1:11" ht="15.75" hidden="1" customHeight="1">
      <c r="A844" s="367"/>
      <c r="B844" s="256"/>
      <c r="C844" s="325"/>
      <c r="D844" s="89"/>
      <c r="E844" s="90" t="s">
        <v>444</v>
      </c>
      <c r="F844" s="91" t="str">
        <f>IF(AND(F835=0,F836=0,F837&gt;=E840),"YES","NO")</f>
        <v>NO</v>
      </c>
      <c r="J844" s="82"/>
      <c r="K844" s="16"/>
    </row>
    <row r="845" spans="1:11" ht="15.75" hidden="1" customHeight="1">
      <c r="A845" s="367"/>
      <c r="B845" s="256"/>
      <c r="C845" s="325"/>
      <c r="D845" s="89"/>
      <c r="E845" s="90" t="s">
        <v>445</v>
      </c>
      <c r="F845" s="218" t="str">
        <f>IF(AND(F835=0,F836=0,F837&lt;E840),"YES","NO")</f>
        <v>NO</v>
      </c>
      <c r="J845" s="82"/>
      <c r="K845" s="16"/>
    </row>
    <row r="846" spans="1:11" ht="15" customHeight="1">
      <c r="A846" s="367"/>
      <c r="B846" s="268"/>
      <c r="C846" s="324"/>
      <c r="D846" s="396" t="s">
        <v>504</v>
      </c>
      <c r="E846" s="396"/>
      <c r="F846" s="219">
        <f>IF(F841="YES",4,IF(F842="YES",3+F835/E838,IF(F843="YES",2+2*F835/E838+F836/E839-(F835*F836)/(E838*E839),IF(F844="YES",2,2*F837/E840))))</f>
        <v>3</v>
      </c>
      <c r="K846" s="16"/>
    </row>
    <row r="847" spans="1:11" ht="15" customHeight="1" thickBot="1">
      <c r="A847" s="368"/>
      <c r="B847" s="269"/>
      <c r="C847" s="327"/>
      <c r="D847" s="397" t="s">
        <v>27</v>
      </c>
      <c r="E847" s="397"/>
      <c r="F847" s="63">
        <f>IF(F823&gt;=F824,F846,F823/F824*F846)</f>
        <v>3</v>
      </c>
      <c r="J847" s="85"/>
      <c r="K847" s="16"/>
    </row>
    <row r="848" spans="1:11">
      <c r="D848" s="95"/>
      <c r="E848" s="96"/>
      <c r="K848" s="97"/>
    </row>
    <row r="849" spans="1:11" ht="29.25" customHeight="1">
      <c r="A849" s="366">
        <v>63</v>
      </c>
      <c r="B849" s="267"/>
      <c r="C849" s="323"/>
      <c r="D849" s="398" t="s">
        <v>529</v>
      </c>
      <c r="E849" s="399"/>
      <c r="F849" s="78"/>
      <c r="K849" s="58"/>
    </row>
    <row r="850" spans="1:11" ht="14.45" customHeight="1">
      <c r="A850" s="367"/>
      <c r="B850" s="268"/>
      <c r="C850" s="324"/>
      <c r="D850" s="390" t="s">
        <v>484</v>
      </c>
      <c r="E850" s="391"/>
      <c r="F850" s="200">
        <v>20</v>
      </c>
      <c r="G850" s="15" t="s">
        <v>51</v>
      </c>
      <c r="K850" s="16"/>
    </row>
    <row r="851" spans="1:11" ht="14.45" customHeight="1">
      <c r="A851" s="367"/>
      <c r="B851" s="268"/>
      <c r="C851" s="324"/>
      <c r="D851" s="390" t="s">
        <v>485</v>
      </c>
      <c r="E851" s="391"/>
      <c r="F851" s="200">
        <v>21</v>
      </c>
      <c r="G851" s="15" t="s">
        <v>51</v>
      </c>
      <c r="K851" s="16"/>
    </row>
    <row r="852" spans="1:11" ht="14.45" customHeight="1">
      <c r="A852" s="367"/>
      <c r="B852" s="268"/>
      <c r="C852" s="324"/>
      <c r="D852" s="390" t="s">
        <v>486</v>
      </c>
      <c r="E852" s="391"/>
      <c r="F852" s="200">
        <v>23</v>
      </c>
      <c r="G852" s="15" t="s">
        <v>51</v>
      </c>
      <c r="K852" s="16"/>
    </row>
    <row r="853" spans="1:11" ht="15" customHeight="1">
      <c r="A853" s="367"/>
      <c r="B853" s="268"/>
      <c r="C853" s="324"/>
      <c r="D853" s="390" t="s">
        <v>530</v>
      </c>
      <c r="E853" s="391"/>
      <c r="F853" s="200">
        <v>13</v>
      </c>
      <c r="G853" s="15" t="s">
        <v>51</v>
      </c>
      <c r="K853" s="16"/>
    </row>
    <row r="854" spans="1:11" ht="15" customHeight="1">
      <c r="A854" s="367"/>
      <c r="B854" s="268"/>
      <c r="C854" s="324"/>
      <c r="D854" s="390" t="s">
        <v>531</v>
      </c>
      <c r="E854" s="391"/>
      <c r="F854" s="200">
        <v>17</v>
      </c>
      <c r="G854" s="15" t="s">
        <v>51</v>
      </c>
      <c r="K854" s="16"/>
    </row>
    <row r="855" spans="1:11" ht="15" customHeight="1">
      <c r="A855" s="367"/>
      <c r="B855" s="268"/>
      <c r="C855" s="324"/>
      <c r="D855" s="390" t="s">
        <v>532</v>
      </c>
      <c r="E855" s="391"/>
      <c r="F855" s="200">
        <v>19</v>
      </c>
      <c r="G855" s="15" t="s">
        <v>51</v>
      </c>
      <c r="K855" s="16"/>
    </row>
    <row r="856" spans="1:11" ht="18">
      <c r="A856" s="367"/>
      <c r="B856" s="268"/>
      <c r="C856" s="324"/>
      <c r="D856" s="201" t="s">
        <v>490</v>
      </c>
      <c r="E856" s="202"/>
      <c r="F856" s="203">
        <f>IF(SUM(F850:F852)&gt;=300,1,2)</f>
        <v>2</v>
      </c>
      <c r="K856" s="16"/>
    </row>
    <row r="857" spans="1:11" ht="15" customHeight="1">
      <c r="A857" s="367"/>
      <c r="B857" s="268"/>
      <c r="C857" s="324"/>
      <c r="D857" s="390" t="s">
        <v>533</v>
      </c>
      <c r="E857" s="391"/>
      <c r="F857" s="204">
        <f>IF(SUM(F850:F852)&gt;0,SUM(F853:F855)/SUM(F850:F852),0)</f>
        <v>0.765625</v>
      </c>
      <c r="K857" s="16"/>
    </row>
    <row r="858" spans="1:11" ht="18">
      <c r="A858" s="367"/>
      <c r="B858" s="268"/>
      <c r="C858" s="324"/>
      <c r="D858" s="205" t="s">
        <v>492</v>
      </c>
      <c r="E858" s="206"/>
      <c r="F858" s="207">
        <f>IF(F856=1,30%,50%-SUM(F850:F852)/300*20%)</f>
        <v>0.45733333333333331</v>
      </c>
      <c r="K858" s="16"/>
    </row>
    <row r="859" spans="1:11" ht="44.45" customHeight="1">
      <c r="A859" s="367"/>
      <c r="B859" s="256"/>
      <c r="C859" s="325"/>
      <c r="D859" s="392" t="s">
        <v>534</v>
      </c>
      <c r="E859" s="392"/>
      <c r="F859" s="78"/>
      <c r="K859" s="16"/>
    </row>
    <row r="860" spans="1:11" ht="15.75" customHeight="1">
      <c r="A860" s="367"/>
      <c r="B860" s="256"/>
      <c r="C860" s="325"/>
      <c r="D860" s="342" t="s">
        <v>535</v>
      </c>
      <c r="E860" s="173" t="s">
        <v>377</v>
      </c>
      <c r="F860" s="174">
        <v>0.4</v>
      </c>
      <c r="G860" s="15" t="s">
        <v>51</v>
      </c>
      <c r="K860" s="16"/>
    </row>
    <row r="861" spans="1:11" ht="15" customHeight="1">
      <c r="A861" s="367"/>
      <c r="B861" s="256"/>
      <c r="C861" s="325"/>
      <c r="D861" s="343"/>
      <c r="E861" s="173" t="s">
        <v>378</v>
      </c>
      <c r="F861" s="174">
        <v>0.6</v>
      </c>
      <c r="G861" s="15" t="s">
        <v>51</v>
      </c>
      <c r="K861" s="16"/>
    </row>
    <row r="862" spans="1:11" ht="15" customHeight="1">
      <c r="A862" s="367"/>
      <c r="B862" s="256"/>
      <c r="C862" s="325"/>
      <c r="D862" s="343"/>
      <c r="E862" s="173" t="s">
        <v>379</v>
      </c>
      <c r="F862" s="174">
        <v>0</v>
      </c>
      <c r="G862" s="15" t="s">
        <v>51</v>
      </c>
      <c r="K862" s="16"/>
    </row>
    <row r="863" spans="1:11" ht="15" customHeight="1">
      <c r="A863" s="367"/>
      <c r="B863" s="256"/>
      <c r="C863" s="325"/>
      <c r="D863" s="343"/>
      <c r="E863" s="173" t="s">
        <v>380</v>
      </c>
      <c r="F863" s="174">
        <v>0</v>
      </c>
      <c r="G863" s="15" t="s">
        <v>51</v>
      </c>
      <c r="K863" s="16"/>
    </row>
    <row r="864" spans="1:11" ht="15" customHeight="1">
      <c r="A864" s="367"/>
      <c r="B864" s="256"/>
      <c r="C864" s="325"/>
      <c r="D864" s="344"/>
      <c r="E864" s="175" t="s">
        <v>536</v>
      </c>
      <c r="F864" s="81">
        <f>IF((4*F860+3*F861+2*F862+F863)&gt;4,0,4*F860+3*F861+2*F862+F863)</f>
        <v>3.4</v>
      </c>
      <c r="K864" s="16"/>
    </row>
    <row r="865" spans="1:11" ht="15.75" customHeight="1">
      <c r="A865" s="367"/>
      <c r="B865" s="256"/>
      <c r="C865" s="325"/>
      <c r="D865" s="342" t="s">
        <v>537</v>
      </c>
      <c r="E865" s="173" t="s">
        <v>377</v>
      </c>
      <c r="F865" s="174">
        <v>0.8</v>
      </c>
      <c r="G865" s="15" t="s">
        <v>51</v>
      </c>
      <c r="K865" s="16"/>
    </row>
    <row r="866" spans="1:11" ht="15" customHeight="1">
      <c r="A866" s="367"/>
      <c r="B866" s="256"/>
      <c r="C866" s="325"/>
      <c r="D866" s="343"/>
      <c r="E866" s="173" t="s">
        <v>378</v>
      </c>
      <c r="F866" s="174">
        <v>0.2</v>
      </c>
      <c r="G866" s="15" t="s">
        <v>51</v>
      </c>
      <c r="K866" s="16"/>
    </row>
    <row r="867" spans="1:11" ht="15" customHeight="1">
      <c r="A867" s="367"/>
      <c r="B867" s="256"/>
      <c r="C867" s="325"/>
      <c r="D867" s="343"/>
      <c r="E867" s="173" t="s">
        <v>379</v>
      </c>
      <c r="F867" s="174">
        <v>0</v>
      </c>
      <c r="G867" s="15" t="s">
        <v>51</v>
      </c>
      <c r="K867" s="16"/>
    </row>
    <row r="868" spans="1:11" ht="15" customHeight="1">
      <c r="A868" s="367"/>
      <c r="B868" s="256"/>
      <c r="C868" s="325"/>
      <c r="D868" s="343"/>
      <c r="E868" s="173" t="s">
        <v>380</v>
      </c>
      <c r="F868" s="174">
        <v>0</v>
      </c>
      <c r="G868" s="15" t="s">
        <v>51</v>
      </c>
      <c r="K868" s="16"/>
    </row>
    <row r="869" spans="1:11" ht="15" customHeight="1">
      <c r="A869" s="367"/>
      <c r="B869" s="256"/>
      <c r="C869" s="325"/>
      <c r="D869" s="344"/>
      <c r="E869" s="175" t="s">
        <v>538</v>
      </c>
      <c r="F869" s="81">
        <f>IF((4*F865+3*F866+2*F867+F868)&gt;4,0,4*F865+3*F866+2*F867+F868)</f>
        <v>3.8000000000000003</v>
      </c>
      <c r="K869" s="16"/>
    </row>
    <row r="870" spans="1:11" ht="15.75" customHeight="1">
      <c r="A870" s="367"/>
      <c r="B870" s="256"/>
      <c r="C870" s="325"/>
      <c r="D870" s="342" t="s">
        <v>539</v>
      </c>
      <c r="E870" s="173" t="s">
        <v>377</v>
      </c>
      <c r="F870" s="174">
        <v>0.45</v>
      </c>
      <c r="G870" s="15" t="s">
        <v>51</v>
      </c>
      <c r="K870" s="16"/>
    </row>
    <row r="871" spans="1:11" ht="15" customHeight="1">
      <c r="A871" s="367"/>
      <c r="B871" s="256"/>
      <c r="C871" s="325"/>
      <c r="D871" s="343"/>
      <c r="E871" s="173" t="s">
        <v>378</v>
      </c>
      <c r="F871" s="174">
        <v>0.55000000000000004</v>
      </c>
      <c r="G871" s="15" t="s">
        <v>51</v>
      </c>
      <c r="K871" s="16"/>
    </row>
    <row r="872" spans="1:11" ht="15" customHeight="1">
      <c r="A872" s="367"/>
      <c r="B872" s="256"/>
      <c r="C872" s="325"/>
      <c r="D872" s="343"/>
      <c r="E872" s="173" t="s">
        <v>379</v>
      </c>
      <c r="F872" s="174">
        <v>0</v>
      </c>
      <c r="G872" s="15" t="s">
        <v>51</v>
      </c>
      <c r="K872" s="16"/>
    </row>
    <row r="873" spans="1:11" ht="15" customHeight="1">
      <c r="A873" s="367"/>
      <c r="B873" s="256"/>
      <c r="C873" s="325"/>
      <c r="D873" s="343"/>
      <c r="E873" s="173" t="s">
        <v>380</v>
      </c>
      <c r="F873" s="174">
        <v>0</v>
      </c>
      <c r="G873" s="15" t="s">
        <v>51</v>
      </c>
      <c r="K873" s="16"/>
    </row>
    <row r="874" spans="1:11" ht="15" customHeight="1">
      <c r="A874" s="367"/>
      <c r="B874" s="256"/>
      <c r="C874" s="325"/>
      <c r="D874" s="344"/>
      <c r="E874" s="175" t="s">
        <v>540</v>
      </c>
      <c r="F874" s="81">
        <f>IF((4*F870+3*F871+2*F872+F873)&gt;4,0,4*F870+3*F871+2*F872+F873)</f>
        <v>3.45</v>
      </c>
      <c r="K874" s="16"/>
    </row>
    <row r="875" spans="1:11" ht="15.75" customHeight="1">
      <c r="A875" s="367"/>
      <c r="B875" s="256"/>
      <c r="C875" s="325"/>
      <c r="D875" s="345" t="s">
        <v>541</v>
      </c>
      <c r="E875" s="173" t="s">
        <v>377</v>
      </c>
      <c r="F875" s="174">
        <v>0.85</v>
      </c>
      <c r="G875" s="15" t="s">
        <v>51</v>
      </c>
      <c r="K875" s="16"/>
    </row>
    <row r="876" spans="1:11" ht="15" customHeight="1">
      <c r="A876" s="367"/>
      <c r="B876" s="256"/>
      <c r="C876" s="325"/>
      <c r="D876" s="346"/>
      <c r="E876" s="173" t="s">
        <v>378</v>
      </c>
      <c r="F876" s="174">
        <v>0.15</v>
      </c>
      <c r="G876" s="15" t="s">
        <v>51</v>
      </c>
      <c r="K876" s="16"/>
    </row>
    <row r="877" spans="1:11" ht="15" customHeight="1">
      <c r="A877" s="367"/>
      <c r="B877" s="256"/>
      <c r="C877" s="325"/>
      <c r="D877" s="346"/>
      <c r="E877" s="173" t="s">
        <v>379</v>
      </c>
      <c r="F877" s="174">
        <v>0</v>
      </c>
      <c r="G877" s="15" t="s">
        <v>51</v>
      </c>
      <c r="K877" s="16"/>
    </row>
    <row r="878" spans="1:11" ht="15" customHeight="1">
      <c r="A878" s="367"/>
      <c r="B878" s="256"/>
      <c r="C878" s="325"/>
      <c r="D878" s="346"/>
      <c r="E878" s="173" t="s">
        <v>380</v>
      </c>
      <c r="F878" s="174">
        <v>0</v>
      </c>
      <c r="G878" s="15" t="s">
        <v>51</v>
      </c>
      <c r="K878" s="16"/>
    </row>
    <row r="879" spans="1:11" ht="15" customHeight="1">
      <c r="A879" s="367"/>
      <c r="B879" s="256"/>
      <c r="C879" s="325"/>
      <c r="D879" s="347"/>
      <c r="E879" s="175" t="s">
        <v>542</v>
      </c>
      <c r="F879" s="81">
        <f>IF((4*F875+3*F876+2*F877+F878)&gt;4,0,4*F875+3*F876+2*F877+F878)</f>
        <v>3.8499999999999996</v>
      </c>
      <c r="K879" s="16"/>
    </row>
    <row r="880" spans="1:11" ht="15.75" customHeight="1">
      <c r="A880" s="367"/>
      <c r="B880" s="256"/>
      <c r="C880" s="325"/>
      <c r="D880" s="342" t="s">
        <v>543</v>
      </c>
      <c r="E880" s="173" t="s">
        <v>377</v>
      </c>
      <c r="F880" s="174">
        <v>0.8</v>
      </c>
      <c r="G880" s="15" t="s">
        <v>51</v>
      </c>
      <c r="K880" s="16"/>
    </row>
    <row r="881" spans="1:11" ht="15" customHeight="1">
      <c r="A881" s="367"/>
      <c r="B881" s="256"/>
      <c r="C881" s="325"/>
      <c r="D881" s="343"/>
      <c r="E881" s="173" t="s">
        <v>378</v>
      </c>
      <c r="F881" s="174">
        <v>0.2</v>
      </c>
      <c r="G881" s="15" t="s">
        <v>51</v>
      </c>
      <c r="K881" s="16"/>
    </row>
    <row r="882" spans="1:11" ht="15" customHeight="1">
      <c r="A882" s="367"/>
      <c r="B882" s="256"/>
      <c r="C882" s="325"/>
      <c r="D882" s="343"/>
      <c r="E882" s="173" t="s">
        <v>379</v>
      </c>
      <c r="F882" s="174">
        <v>0</v>
      </c>
      <c r="G882" s="15" t="s">
        <v>51</v>
      </c>
      <c r="K882" s="16"/>
    </row>
    <row r="883" spans="1:11" ht="15" customHeight="1">
      <c r="A883" s="367"/>
      <c r="B883" s="256"/>
      <c r="C883" s="325"/>
      <c r="D883" s="343"/>
      <c r="E883" s="173" t="s">
        <v>380</v>
      </c>
      <c r="F883" s="174">
        <v>0</v>
      </c>
      <c r="G883" s="15" t="s">
        <v>51</v>
      </c>
      <c r="K883" s="16"/>
    </row>
    <row r="884" spans="1:11" ht="15" customHeight="1">
      <c r="A884" s="367"/>
      <c r="B884" s="256"/>
      <c r="C884" s="325"/>
      <c r="D884" s="344"/>
      <c r="E884" s="175" t="s">
        <v>544</v>
      </c>
      <c r="F884" s="81">
        <f>IF((4*F880+3*F881+2*F882+F883)&gt;4,0,4*F880+3*F881+2*F882+F883)</f>
        <v>3.8000000000000003</v>
      </c>
      <c r="K884" s="16"/>
    </row>
    <row r="885" spans="1:11" ht="15.75" customHeight="1">
      <c r="A885" s="367"/>
      <c r="B885" s="256"/>
      <c r="C885" s="325"/>
      <c r="D885" s="342" t="s">
        <v>545</v>
      </c>
      <c r="E885" s="173" t="s">
        <v>377</v>
      </c>
      <c r="F885" s="174">
        <v>0.9</v>
      </c>
      <c r="G885" s="15" t="s">
        <v>51</v>
      </c>
      <c r="K885" s="16"/>
    </row>
    <row r="886" spans="1:11" ht="15" customHeight="1">
      <c r="A886" s="367"/>
      <c r="B886" s="256"/>
      <c r="C886" s="325"/>
      <c r="D886" s="343"/>
      <c r="E886" s="173" t="s">
        <v>378</v>
      </c>
      <c r="F886" s="174">
        <v>0.1</v>
      </c>
      <c r="G886" s="15" t="s">
        <v>51</v>
      </c>
      <c r="K886" s="16"/>
    </row>
    <row r="887" spans="1:11" ht="15" customHeight="1">
      <c r="A887" s="367"/>
      <c r="B887" s="256"/>
      <c r="C887" s="325"/>
      <c r="D887" s="343"/>
      <c r="E887" s="173" t="s">
        <v>379</v>
      </c>
      <c r="F887" s="174">
        <v>0</v>
      </c>
      <c r="G887" s="15" t="s">
        <v>51</v>
      </c>
      <c r="K887" s="16"/>
    </row>
    <row r="888" spans="1:11" ht="15" customHeight="1">
      <c r="A888" s="367"/>
      <c r="B888" s="256"/>
      <c r="C888" s="325"/>
      <c r="D888" s="343"/>
      <c r="E888" s="173" t="s">
        <v>380</v>
      </c>
      <c r="F888" s="174">
        <v>0</v>
      </c>
      <c r="G888" s="15" t="s">
        <v>51</v>
      </c>
      <c r="K888" s="16"/>
    </row>
    <row r="889" spans="1:11" ht="15" customHeight="1">
      <c r="A889" s="367"/>
      <c r="B889" s="256"/>
      <c r="C889" s="325"/>
      <c r="D889" s="344"/>
      <c r="E889" s="175" t="s">
        <v>546</v>
      </c>
      <c r="F889" s="81">
        <f>IF((4*F885+3*F886+2*F887+F888)&gt;4,0,4*F885+3*F886+2*F887+F888)</f>
        <v>3.9000000000000004</v>
      </c>
      <c r="K889" s="16"/>
    </row>
    <row r="890" spans="1:11" ht="15.75" customHeight="1">
      <c r="A890" s="367"/>
      <c r="B890" s="256"/>
      <c r="C890" s="325"/>
      <c r="D890" s="345" t="s">
        <v>547</v>
      </c>
      <c r="E890" s="173" t="s">
        <v>377</v>
      </c>
      <c r="F890" s="174">
        <v>0.9</v>
      </c>
      <c r="G890" s="15" t="s">
        <v>51</v>
      </c>
      <c r="K890" s="16"/>
    </row>
    <row r="891" spans="1:11" ht="15" customHeight="1">
      <c r="A891" s="367"/>
      <c r="B891" s="256"/>
      <c r="C891" s="325"/>
      <c r="D891" s="346"/>
      <c r="E891" s="173" t="s">
        <v>378</v>
      </c>
      <c r="F891" s="174">
        <v>0.1</v>
      </c>
      <c r="G891" s="15" t="s">
        <v>51</v>
      </c>
      <c r="K891" s="16"/>
    </row>
    <row r="892" spans="1:11" ht="15" customHeight="1">
      <c r="A892" s="367"/>
      <c r="B892" s="256"/>
      <c r="C892" s="325"/>
      <c r="D892" s="346"/>
      <c r="E892" s="173" t="s">
        <v>379</v>
      </c>
      <c r="F892" s="174">
        <v>0</v>
      </c>
      <c r="G892" s="15" t="s">
        <v>51</v>
      </c>
      <c r="K892" s="16"/>
    </row>
    <row r="893" spans="1:11" ht="15" customHeight="1">
      <c r="A893" s="367"/>
      <c r="B893" s="256"/>
      <c r="C893" s="325"/>
      <c r="D893" s="346"/>
      <c r="E893" s="173" t="s">
        <v>380</v>
      </c>
      <c r="F893" s="174">
        <v>0</v>
      </c>
      <c r="G893" s="15" t="s">
        <v>51</v>
      </c>
      <c r="K893" s="16"/>
    </row>
    <row r="894" spans="1:11" ht="15" customHeight="1">
      <c r="A894" s="367"/>
      <c r="B894" s="256"/>
      <c r="C894" s="325"/>
      <c r="D894" s="347"/>
      <c r="E894" s="175" t="s">
        <v>548</v>
      </c>
      <c r="F894" s="81">
        <f>IF((4*F890+3*F891+2*F892+F893)&gt;4,0,4*F890+3*F891+2*F892+F893)</f>
        <v>3.9000000000000004</v>
      </c>
      <c r="K894" s="16"/>
    </row>
    <row r="895" spans="1:11" ht="15" customHeight="1">
      <c r="A895" s="367"/>
      <c r="B895" s="256"/>
      <c r="C895" s="325"/>
      <c r="D895" s="393" t="s">
        <v>504</v>
      </c>
      <c r="E895" s="394"/>
      <c r="F895" s="220">
        <f>(F864+F869+F874+F879+F884+F889+F894)/7</f>
        <v>3.7285714285714286</v>
      </c>
      <c r="K895" s="16"/>
    </row>
    <row r="896" spans="1:11">
      <c r="A896" s="368"/>
      <c r="B896" s="257"/>
      <c r="C896" s="326"/>
      <c r="D896" s="371" t="s">
        <v>27</v>
      </c>
      <c r="E896" s="372"/>
      <c r="F896" s="63">
        <f>IF(F857&gt;=F858,F895,F857/F858*F895)</f>
        <v>3.7285714285714286</v>
      </c>
      <c r="K896" s="16"/>
    </row>
    <row r="897" spans="1:11">
      <c r="D897" s="95"/>
      <c r="E897" s="96"/>
      <c r="K897" s="97"/>
    </row>
    <row r="898" spans="1:11" ht="65.45" customHeight="1">
      <c r="A898" s="357">
        <v>64</v>
      </c>
      <c r="B898" s="261"/>
      <c r="C898" s="317" t="s">
        <v>549</v>
      </c>
      <c r="D898" s="388" t="s">
        <v>550</v>
      </c>
      <c r="E898" s="388"/>
      <c r="F898" s="221"/>
      <c r="K898" s="58"/>
    </row>
    <row r="899" spans="1:11" ht="15" customHeight="1">
      <c r="A899" s="358"/>
      <c r="B899" s="262"/>
      <c r="C899" s="318"/>
      <c r="D899" s="375" t="s">
        <v>551</v>
      </c>
      <c r="E899" s="376"/>
      <c r="F899" s="79">
        <v>10</v>
      </c>
      <c r="G899" s="15" t="s">
        <v>51</v>
      </c>
      <c r="J899" s="80"/>
      <c r="K899" s="16"/>
    </row>
    <row r="900" spans="1:11" ht="15" customHeight="1">
      <c r="A900" s="358"/>
      <c r="B900" s="262"/>
      <c r="C900" s="318"/>
      <c r="D900" s="375" t="s">
        <v>552</v>
      </c>
      <c r="E900" s="376"/>
      <c r="F900" s="79">
        <v>3</v>
      </c>
      <c r="G900" s="15" t="s">
        <v>51</v>
      </c>
      <c r="J900" s="80"/>
      <c r="K900" s="16"/>
    </row>
    <row r="901" spans="1:11" ht="15" customHeight="1">
      <c r="A901" s="358"/>
      <c r="B901" s="262"/>
      <c r="C901" s="318"/>
      <c r="D901" s="375" t="s">
        <v>553</v>
      </c>
      <c r="E901" s="376"/>
      <c r="F901" s="79">
        <v>0</v>
      </c>
      <c r="G901" s="15" t="s">
        <v>51</v>
      </c>
      <c r="J901" s="80"/>
      <c r="K901" s="16"/>
    </row>
    <row r="902" spans="1:11" ht="15" customHeight="1">
      <c r="A902" s="358"/>
      <c r="B902" s="262"/>
      <c r="C902" s="318"/>
      <c r="D902" s="375" t="s">
        <v>554</v>
      </c>
      <c r="E902" s="376"/>
      <c r="F902" s="79">
        <v>0</v>
      </c>
      <c r="G902" s="15" t="s">
        <v>51</v>
      </c>
      <c r="J902" s="80"/>
      <c r="K902" s="16"/>
    </row>
    <row r="903" spans="1:11" ht="15" customHeight="1">
      <c r="A903" s="358"/>
      <c r="B903" s="262"/>
      <c r="C903" s="318"/>
      <c r="D903" s="375" t="s">
        <v>555</v>
      </c>
      <c r="E903" s="376"/>
      <c r="F903" s="79">
        <v>37</v>
      </c>
      <c r="G903" s="15" t="s">
        <v>51</v>
      </c>
      <c r="J903" s="80"/>
      <c r="K903" s="16"/>
    </row>
    <row r="904" spans="1:11" ht="15" customHeight="1">
      <c r="A904" s="358"/>
      <c r="B904" s="262"/>
      <c r="C904" s="318"/>
      <c r="D904" s="375" t="s">
        <v>556</v>
      </c>
      <c r="E904" s="376"/>
      <c r="F904" s="79">
        <v>0</v>
      </c>
      <c r="G904" s="15" t="s">
        <v>51</v>
      </c>
      <c r="J904" s="80"/>
      <c r="K904" s="16"/>
    </row>
    <row r="905" spans="1:11" ht="15" customHeight="1">
      <c r="A905" s="358"/>
      <c r="B905" s="262"/>
      <c r="C905" s="318"/>
      <c r="D905" s="375" t="s">
        <v>557</v>
      </c>
      <c r="E905" s="376"/>
      <c r="F905" s="79">
        <v>0</v>
      </c>
      <c r="G905" s="15" t="s">
        <v>51</v>
      </c>
      <c r="J905" s="80"/>
      <c r="K905" s="16"/>
    </row>
    <row r="906" spans="1:11" ht="15" customHeight="1">
      <c r="A906" s="358"/>
      <c r="B906" s="262"/>
      <c r="C906" s="318"/>
      <c r="D906" s="375" t="s">
        <v>558</v>
      </c>
      <c r="E906" s="376"/>
      <c r="F906" s="79">
        <v>0</v>
      </c>
      <c r="G906" s="15" t="s">
        <v>51</v>
      </c>
      <c r="J906" s="80"/>
      <c r="K906" s="16"/>
    </row>
    <row r="907" spans="1:11" ht="15" customHeight="1">
      <c r="A907" s="358"/>
      <c r="B907" s="262"/>
      <c r="C907" s="318"/>
      <c r="D907" s="375" t="s">
        <v>559</v>
      </c>
      <c r="E907" s="376"/>
      <c r="F907" s="79">
        <v>0</v>
      </c>
      <c r="G907" s="15" t="s">
        <v>51</v>
      </c>
      <c r="J907" s="80"/>
      <c r="K907" s="16"/>
    </row>
    <row r="908" spans="1:11" ht="15" customHeight="1">
      <c r="A908" s="358"/>
      <c r="B908" s="262"/>
      <c r="C908" s="318"/>
      <c r="D908" s="375" t="s">
        <v>560</v>
      </c>
      <c r="E908" s="376"/>
      <c r="F908" s="79">
        <v>0</v>
      </c>
      <c r="G908" s="15" t="s">
        <v>51</v>
      </c>
      <c r="J908" s="80"/>
      <c r="K908" s="16"/>
    </row>
    <row r="909" spans="1:11" ht="15" customHeight="1">
      <c r="A909" s="358"/>
      <c r="B909" s="262"/>
      <c r="C909" s="318"/>
      <c r="D909" s="375" t="s">
        <v>561</v>
      </c>
      <c r="E909" s="376"/>
      <c r="F909" s="79">
        <v>136</v>
      </c>
      <c r="G909" s="15" t="s">
        <v>51</v>
      </c>
      <c r="J909" s="80"/>
      <c r="K909" s="16"/>
    </row>
    <row r="910" spans="1:11" ht="15" customHeight="1">
      <c r="A910" s="358"/>
      <c r="B910" s="262"/>
      <c r="C910" s="318"/>
      <c r="D910" s="375" t="s">
        <v>562</v>
      </c>
      <c r="E910" s="376"/>
      <c r="F910" s="121">
        <f>IF(F909&gt;0,(F902+F905+F908)/F909,0)</f>
        <v>0</v>
      </c>
      <c r="J910" s="82"/>
      <c r="K910" s="16"/>
    </row>
    <row r="911" spans="1:11" ht="15.75" customHeight="1">
      <c r="A911" s="358"/>
      <c r="B911" s="262"/>
      <c r="C911" s="318"/>
      <c r="D911" s="375" t="s">
        <v>563</v>
      </c>
      <c r="E911" s="376"/>
      <c r="F911" s="121">
        <f>IF(F909&gt;0,(F900+F901+F904+F907)/F909,0)</f>
        <v>2.2058823529411766E-2</v>
      </c>
      <c r="J911" s="82"/>
      <c r="K911" s="16"/>
    </row>
    <row r="912" spans="1:11" ht="15.75" customHeight="1">
      <c r="A912" s="358"/>
      <c r="B912" s="262"/>
      <c r="C912" s="318"/>
      <c r="D912" s="375" t="s">
        <v>564</v>
      </c>
      <c r="E912" s="376"/>
      <c r="F912" s="121">
        <f>IF(F909&gt;0,(F899+F903+F906)/F909,0)</f>
        <v>0.34558823529411764</v>
      </c>
      <c r="J912" s="82"/>
      <c r="K912" s="16"/>
    </row>
    <row r="913" spans="1:11" ht="15.75" hidden="1" customHeight="1">
      <c r="A913" s="358"/>
      <c r="B913" s="262"/>
      <c r="C913" s="318"/>
      <c r="D913" s="83" t="s">
        <v>56</v>
      </c>
      <c r="E913" s="216">
        <v>0.01</v>
      </c>
      <c r="F913" s="84"/>
      <c r="J913" s="82"/>
      <c r="K913" s="16"/>
    </row>
    <row r="914" spans="1:11" ht="15.75" hidden="1" customHeight="1">
      <c r="A914" s="358"/>
      <c r="B914" s="262"/>
      <c r="C914" s="318"/>
      <c r="D914" s="83" t="s">
        <v>57</v>
      </c>
      <c r="E914" s="216">
        <v>0.1</v>
      </c>
      <c r="F914" s="84"/>
      <c r="J914" s="82"/>
      <c r="K914" s="16"/>
    </row>
    <row r="915" spans="1:11" ht="15.75" hidden="1" customHeight="1">
      <c r="A915" s="358"/>
      <c r="B915" s="262"/>
      <c r="C915" s="318"/>
      <c r="D915" s="83" t="s">
        <v>58</v>
      </c>
      <c r="E915" s="216">
        <v>0.5</v>
      </c>
      <c r="F915" s="84"/>
      <c r="J915" s="82"/>
      <c r="K915" s="16"/>
    </row>
    <row r="916" spans="1:11" ht="15.75" hidden="1" customHeight="1">
      <c r="A916" s="358"/>
      <c r="B916" s="262"/>
      <c r="C916" s="318"/>
      <c r="D916" s="89"/>
      <c r="E916" s="90" t="s">
        <v>189</v>
      </c>
      <c r="F916" s="91" t="str">
        <f>IF(F910&gt;=E913,"YES","NO")</f>
        <v>NO</v>
      </c>
      <c r="J916" s="82"/>
      <c r="K916" s="16"/>
    </row>
    <row r="917" spans="1:11" ht="15.75" hidden="1" customHeight="1">
      <c r="A917" s="358"/>
      <c r="B917" s="262"/>
      <c r="C917" s="318"/>
      <c r="D917" s="89"/>
      <c r="E917" s="90" t="s">
        <v>190</v>
      </c>
      <c r="F917" s="91" t="str">
        <f>IF(AND(F910&lt;E913,F911&gt;=E914),"YES","NO")</f>
        <v>NO</v>
      </c>
      <c r="J917" s="82"/>
      <c r="K917" s="16"/>
    </row>
    <row r="918" spans="1:11" ht="15.75" hidden="1" customHeight="1">
      <c r="A918" s="358"/>
      <c r="B918" s="262"/>
      <c r="C918" s="318"/>
      <c r="D918" s="89"/>
      <c r="E918" s="90" t="s">
        <v>191</v>
      </c>
      <c r="F918" s="91" t="str">
        <f>IF(OR(AND(F910&gt;0,F910&lt;E913,F911=0),AND(F911&gt;0,F911&lt;E914,F910=0),AND(F910&gt;0,F910&lt;E913,F911&gt;0,F911&lt;E914)),"YES","NO")</f>
        <v>YES</v>
      </c>
      <c r="J918" s="82"/>
      <c r="K918" s="16"/>
    </row>
    <row r="919" spans="1:11" ht="15.75" hidden="1" customHeight="1">
      <c r="A919" s="358"/>
      <c r="B919" s="262"/>
      <c r="C919" s="318"/>
      <c r="D919" s="89"/>
      <c r="E919" s="90" t="s">
        <v>192</v>
      </c>
      <c r="F919" s="91" t="str">
        <f>IF(AND(F910=0,F911=0,F912&gt;=E915),"YES","NO")</f>
        <v>NO</v>
      </c>
      <c r="J919" s="82"/>
      <c r="K919" s="16"/>
    </row>
    <row r="920" spans="1:11" ht="15.75" hidden="1" customHeight="1">
      <c r="A920" s="358"/>
      <c r="B920" s="262"/>
      <c r="C920" s="318"/>
      <c r="D920" s="89"/>
      <c r="E920" s="90" t="s">
        <v>193</v>
      </c>
      <c r="F920" s="91" t="str">
        <f>IF(AND(F910=0,F911=0,F912&lt;E915),"YES","NO")</f>
        <v>NO</v>
      </c>
      <c r="J920" s="82"/>
      <c r="K920" s="16"/>
    </row>
    <row r="921" spans="1:11" ht="15" customHeight="1" thickBot="1">
      <c r="A921" s="359"/>
      <c r="B921" s="263"/>
      <c r="C921" s="319"/>
      <c r="D921" s="377" t="s">
        <v>27</v>
      </c>
      <c r="E921" s="378"/>
      <c r="F921" s="148">
        <f>IF(F916="YES",4,IF(F917="YES",3+F910/E913,IF(F918="YES",2+2*F910/E913+F911/E914-(F910*F911)/(E913*E914),IF(F919="YES",2,2*F912/E915))))</f>
        <v>2.2205882352941178</v>
      </c>
      <c r="J921" s="85"/>
      <c r="K921" s="16"/>
    </row>
    <row r="922" spans="1:11" ht="15.75" thickBot="1">
      <c r="D922" s="95"/>
      <c r="E922" s="96"/>
      <c r="K922" s="97"/>
    </row>
    <row r="923" spans="1:11" ht="50.45" hidden="1" customHeight="1">
      <c r="A923" s="360"/>
      <c r="B923" s="258"/>
      <c r="C923" s="328"/>
      <c r="D923" s="389"/>
      <c r="E923" s="389"/>
      <c r="F923" s="222"/>
      <c r="K923" s="58"/>
    </row>
    <row r="924" spans="1:11" ht="15" hidden="1" customHeight="1">
      <c r="A924" s="361"/>
      <c r="B924" s="259"/>
      <c r="C924" s="329"/>
      <c r="D924" s="379"/>
      <c r="E924" s="380"/>
      <c r="F924" s="223"/>
      <c r="J924" s="80"/>
      <c r="K924" s="16"/>
    </row>
    <row r="925" spans="1:11" ht="15" hidden="1" customHeight="1">
      <c r="A925" s="361"/>
      <c r="B925" s="259"/>
      <c r="C925" s="329"/>
      <c r="D925" s="89"/>
      <c r="E925" s="90"/>
      <c r="F925" s="224"/>
      <c r="J925" s="80"/>
      <c r="K925" s="16"/>
    </row>
    <row r="926" spans="1:11" ht="15" hidden="1" customHeight="1">
      <c r="A926" s="362"/>
      <c r="B926" s="260"/>
      <c r="C926" s="330"/>
      <c r="D926" s="381"/>
      <c r="E926" s="382"/>
      <c r="F926" s="225"/>
      <c r="J926" s="85"/>
      <c r="K926" s="16"/>
    </row>
    <row r="927" spans="1:11" ht="15" hidden="1" customHeight="1">
      <c r="D927" s="95"/>
      <c r="E927" s="96"/>
      <c r="K927" s="97"/>
    </row>
    <row r="928" spans="1:11" ht="63.6" hidden="1" customHeight="1">
      <c r="A928" s="363"/>
      <c r="B928" s="264"/>
      <c r="C928" s="331"/>
      <c r="D928" s="383"/>
      <c r="E928" s="383"/>
      <c r="F928" s="149"/>
      <c r="K928" s="58"/>
    </row>
    <row r="929" spans="1:11" ht="34.35" hidden="1" customHeight="1">
      <c r="A929" s="364"/>
      <c r="B929" s="265"/>
      <c r="C929" s="332"/>
      <c r="D929" s="384"/>
      <c r="E929" s="385"/>
      <c r="F929" s="150"/>
      <c r="J929" s="80"/>
      <c r="K929" s="16"/>
    </row>
    <row r="930" spans="1:11" ht="14.45" hidden="1" customHeight="1">
      <c r="A930" s="364"/>
      <c r="B930" s="265"/>
      <c r="C930" s="332"/>
      <c r="D930" s="226"/>
      <c r="E930" s="227"/>
      <c r="F930" s="228"/>
      <c r="J930" s="80"/>
      <c r="K930" s="16"/>
    </row>
    <row r="931" spans="1:11" ht="15" hidden="1" customHeight="1">
      <c r="A931" s="365"/>
      <c r="B931" s="266"/>
      <c r="C931" s="333"/>
      <c r="D931" s="386"/>
      <c r="E931" s="387"/>
      <c r="F931" s="229"/>
      <c r="J931" s="85"/>
      <c r="K931" s="16"/>
    </row>
    <row r="932" spans="1:11" ht="15" hidden="1" customHeight="1">
      <c r="D932" s="95"/>
      <c r="E932" s="96"/>
      <c r="K932" s="97"/>
    </row>
    <row r="933" spans="1:11" ht="48.75" customHeight="1">
      <c r="A933" s="357">
        <v>65</v>
      </c>
      <c r="B933" s="261"/>
      <c r="C933" s="317"/>
      <c r="D933" s="388" t="s">
        <v>565</v>
      </c>
      <c r="E933" s="388"/>
      <c r="F933" s="145"/>
      <c r="K933" s="58"/>
    </row>
    <row r="934" spans="1:11" ht="29.25" customHeight="1">
      <c r="A934" s="358"/>
      <c r="B934" s="262"/>
      <c r="C934" s="318"/>
      <c r="D934" s="375" t="s">
        <v>566</v>
      </c>
      <c r="E934" s="376"/>
      <c r="F934" s="79">
        <v>0</v>
      </c>
      <c r="G934" s="15" t="s">
        <v>51</v>
      </c>
      <c r="J934" s="80"/>
      <c r="K934" s="16"/>
    </row>
    <row r="935" spans="1:11" ht="44.25" customHeight="1">
      <c r="A935" s="358"/>
      <c r="B935" s="262"/>
      <c r="C935" s="318"/>
      <c r="D935" s="375" t="s">
        <v>567</v>
      </c>
      <c r="E935" s="376"/>
      <c r="F935" s="79">
        <v>0</v>
      </c>
      <c r="G935" s="15" t="s">
        <v>51</v>
      </c>
      <c r="J935" s="80"/>
      <c r="K935" s="16"/>
    </row>
    <row r="936" spans="1:11" ht="43.5" customHeight="1">
      <c r="A936" s="358"/>
      <c r="B936" s="262"/>
      <c r="C936" s="318"/>
      <c r="D936" s="375" t="s">
        <v>568</v>
      </c>
      <c r="E936" s="376"/>
      <c r="F936" s="79">
        <v>0</v>
      </c>
      <c r="G936" s="15" t="s">
        <v>51</v>
      </c>
      <c r="J936" s="80"/>
      <c r="K936" s="16"/>
    </row>
    <row r="937" spans="1:11" ht="29.25" customHeight="1">
      <c r="A937" s="358"/>
      <c r="B937" s="262"/>
      <c r="C937" s="318"/>
      <c r="D937" s="375" t="s">
        <v>569</v>
      </c>
      <c r="E937" s="376"/>
      <c r="F937" s="79">
        <v>0</v>
      </c>
      <c r="G937" s="15" t="s">
        <v>51</v>
      </c>
      <c r="J937" s="80"/>
      <c r="K937" s="16"/>
    </row>
    <row r="938" spans="1:11" ht="15" customHeight="1">
      <c r="A938" s="358"/>
      <c r="B938" s="262"/>
      <c r="C938" s="318"/>
      <c r="D938" s="375" t="s">
        <v>570</v>
      </c>
      <c r="E938" s="376"/>
      <c r="F938" s="146">
        <f>2*(F934+F935+F936)+F937</f>
        <v>0</v>
      </c>
      <c r="J938" s="80"/>
      <c r="K938" s="16"/>
    </row>
    <row r="939" spans="1:11" ht="14.45" hidden="1" customHeight="1">
      <c r="A939" s="358"/>
      <c r="B939" s="262"/>
      <c r="C939" s="318"/>
      <c r="D939" s="89" t="s">
        <v>109</v>
      </c>
      <c r="E939" s="90">
        <v>1</v>
      </c>
      <c r="F939" s="147"/>
      <c r="J939" s="80"/>
      <c r="K939" s="16"/>
    </row>
    <row r="940" spans="1:11" ht="15.75" thickBot="1">
      <c r="A940" s="359"/>
      <c r="B940" s="263"/>
      <c r="C940" s="319"/>
      <c r="D940" s="377" t="s">
        <v>27</v>
      </c>
      <c r="E940" s="378"/>
      <c r="F940" s="148">
        <f>IF(F938&gt;=E939,4,2+2/E939*F938)</f>
        <v>2</v>
      </c>
      <c r="J940" s="85"/>
      <c r="K940" s="16"/>
    </row>
    <row r="941" spans="1:11" ht="15.75" thickBot="1">
      <c r="D941" s="95"/>
      <c r="E941" s="96"/>
      <c r="K941" s="97"/>
    </row>
    <row r="942" spans="1:11" ht="50.25" customHeight="1">
      <c r="A942" s="366">
        <v>66</v>
      </c>
      <c r="B942" s="255"/>
      <c r="C942" s="320" t="s">
        <v>571</v>
      </c>
      <c r="D942" s="369" t="s">
        <v>572</v>
      </c>
      <c r="E942" s="370"/>
      <c r="F942" s="57" t="s">
        <v>5</v>
      </c>
      <c r="G942" s="15" t="str">
        <f>IF(OR(ISBLANK(F942),F942&gt;4),"Salah isi","judge")</f>
        <v>Salah isi</v>
      </c>
      <c r="K942" s="58"/>
    </row>
    <row r="943" spans="1:11" ht="165">
      <c r="A943" s="367"/>
      <c r="B943" s="256"/>
      <c r="C943" s="321"/>
      <c r="D943" s="59">
        <v>4</v>
      </c>
      <c r="E943" s="60" t="s">
        <v>573</v>
      </c>
      <c r="F943" s="61"/>
      <c r="K943" s="16"/>
    </row>
    <row r="944" spans="1:11" ht="165">
      <c r="A944" s="367"/>
      <c r="B944" s="256"/>
      <c r="C944" s="321"/>
      <c r="D944" s="59">
        <v>3</v>
      </c>
      <c r="E944" s="60" t="s">
        <v>574</v>
      </c>
      <c r="F944" s="61"/>
      <c r="K944" s="16"/>
    </row>
    <row r="945" spans="1:11" ht="150">
      <c r="A945" s="367"/>
      <c r="B945" s="256"/>
      <c r="C945" s="321"/>
      <c r="D945" s="59">
        <v>2</v>
      </c>
      <c r="E945" s="60" t="s">
        <v>575</v>
      </c>
      <c r="F945" s="61"/>
      <c r="K945" s="16"/>
    </row>
    <row r="946" spans="1:11" ht="135">
      <c r="A946" s="367"/>
      <c r="B946" s="256"/>
      <c r="C946" s="321"/>
      <c r="D946" s="59">
        <v>1</v>
      </c>
      <c r="E946" s="60" t="s">
        <v>576</v>
      </c>
      <c r="F946" s="61"/>
      <c r="K946" s="16"/>
    </row>
    <row r="947" spans="1:11">
      <c r="A947" s="367"/>
      <c r="B947" s="256"/>
      <c r="C947" s="321"/>
      <c r="D947" s="59">
        <v>0</v>
      </c>
      <c r="E947" s="60" t="s">
        <v>577</v>
      </c>
      <c r="F947" s="62"/>
      <c r="K947" s="16"/>
    </row>
    <row r="948" spans="1:11" ht="15" customHeight="1">
      <c r="A948" s="368"/>
      <c r="B948" s="257"/>
      <c r="C948" s="322"/>
      <c r="D948" s="371" t="s">
        <v>27</v>
      </c>
      <c r="E948" s="372"/>
      <c r="F948" s="63">
        <f>IF(G942="Salah isi",0,F942)</f>
        <v>0</v>
      </c>
      <c r="K948" s="16"/>
    </row>
    <row r="949" spans="1:11" ht="15" customHeight="1">
      <c r="A949" s="64"/>
      <c r="B949" s="64"/>
      <c r="C949" s="64"/>
      <c r="D949" s="65"/>
      <c r="E949" s="66"/>
      <c r="F949" s="67"/>
      <c r="K949" s="16"/>
    </row>
    <row r="950" spans="1:11" ht="50.25" customHeight="1">
      <c r="A950" s="366">
        <v>67</v>
      </c>
      <c r="B950" s="255"/>
      <c r="C950" s="320" t="s">
        <v>578</v>
      </c>
      <c r="D950" s="369" t="s">
        <v>579</v>
      </c>
      <c r="E950" s="370"/>
      <c r="F950" s="57" t="s">
        <v>5</v>
      </c>
      <c r="G950" s="15" t="str">
        <f>IF(OR(ISBLANK(F950),F950&gt;4),"Salah isi","judge")</f>
        <v>Salah isi</v>
      </c>
      <c r="K950" s="58"/>
    </row>
    <row r="951" spans="1:11" ht="150">
      <c r="A951" s="367"/>
      <c r="B951" s="256"/>
      <c r="C951" s="321"/>
      <c r="D951" s="59">
        <v>4</v>
      </c>
      <c r="E951" s="60" t="s">
        <v>580</v>
      </c>
      <c r="F951" s="61"/>
      <c r="K951" s="16"/>
    </row>
    <row r="952" spans="1:11" ht="135">
      <c r="A952" s="367"/>
      <c r="B952" s="256"/>
      <c r="C952" s="321"/>
      <c r="D952" s="59">
        <v>3</v>
      </c>
      <c r="E952" s="60" t="s">
        <v>581</v>
      </c>
      <c r="F952" s="61"/>
      <c r="K952" s="16"/>
    </row>
    <row r="953" spans="1:11" ht="90">
      <c r="A953" s="367"/>
      <c r="B953" s="256"/>
      <c r="C953" s="321"/>
      <c r="D953" s="59">
        <v>2</v>
      </c>
      <c r="E953" s="60" t="s">
        <v>582</v>
      </c>
      <c r="F953" s="61"/>
      <c r="K953" s="16"/>
    </row>
    <row r="954" spans="1:11" ht="105">
      <c r="A954" s="367"/>
      <c r="B954" s="256"/>
      <c r="C954" s="321"/>
      <c r="D954" s="59">
        <v>1</v>
      </c>
      <c r="E954" s="60" t="s">
        <v>583</v>
      </c>
      <c r="F954" s="61"/>
      <c r="K954" s="16"/>
    </row>
    <row r="955" spans="1:11">
      <c r="A955" s="367"/>
      <c r="B955" s="256"/>
      <c r="C955" s="321"/>
      <c r="D955" s="59">
        <v>0</v>
      </c>
      <c r="E955" s="60" t="s">
        <v>584</v>
      </c>
      <c r="F955" s="62"/>
      <c r="K955" s="16"/>
    </row>
    <row r="956" spans="1:11" ht="15" customHeight="1">
      <c r="A956" s="368"/>
      <c r="B956" s="257"/>
      <c r="C956" s="322"/>
      <c r="D956" s="371" t="s">
        <v>27</v>
      </c>
      <c r="E956" s="372"/>
      <c r="F956" s="63">
        <f>IF(G950="Salah isi",0,F950)</f>
        <v>0</v>
      </c>
      <c r="K956" s="16"/>
    </row>
    <row r="957" spans="1:11">
      <c r="K957" s="8"/>
    </row>
    <row r="958" spans="1:11" ht="50.25" customHeight="1">
      <c r="A958" s="366">
        <v>68</v>
      </c>
      <c r="B958" s="255"/>
      <c r="C958" s="320" t="s">
        <v>585</v>
      </c>
      <c r="D958" s="369" t="s">
        <v>586</v>
      </c>
      <c r="E958" s="370"/>
      <c r="F958" s="57" t="s">
        <v>5</v>
      </c>
      <c r="G958" s="15" t="str">
        <f>IF(OR(ISBLANK(F958),F958&gt;4),"Salah isi","judge")</f>
        <v>Salah isi</v>
      </c>
      <c r="K958" s="58"/>
    </row>
    <row r="959" spans="1:11" ht="135">
      <c r="A959" s="367"/>
      <c r="B959" s="256"/>
      <c r="C959" s="321"/>
      <c r="D959" s="59">
        <v>4</v>
      </c>
      <c r="E959" s="60" t="s">
        <v>587</v>
      </c>
      <c r="F959" s="61"/>
      <c r="K959" s="16"/>
    </row>
    <row r="960" spans="1:11" ht="105">
      <c r="A960" s="367"/>
      <c r="B960" s="256"/>
      <c r="C960" s="321"/>
      <c r="D960" s="59">
        <v>3</v>
      </c>
      <c r="E960" s="60" t="s">
        <v>588</v>
      </c>
      <c r="F960" s="61"/>
      <c r="K960" s="16"/>
    </row>
    <row r="961" spans="1:11" ht="90">
      <c r="A961" s="367"/>
      <c r="B961" s="256"/>
      <c r="C961" s="321"/>
      <c r="D961" s="59">
        <v>2</v>
      </c>
      <c r="E961" s="60" t="s">
        <v>589</v>
      </c>
      <c r="F961" s="61"/>
      <c r="K961" s="16"/>
    </row>
    <row r="962" spans="1:11" ht="75">
      <c r="A962" s="367"/>
      <c r="B962" s="256"/>
      <c r="C962" s="321"/>
      <c r="D962" s="59">
        <v>1</v>
      </c>
      <c r="E962" s="60" t="s">
        <v>590</v>
      </c>
      <c r="F962" s="61"/>
      <c r="K962" s="16"/>
    </row>
    <row r="963" spans="1:11">
      <c r="A963" s="367"/>
      <c r="B963" s="256"/>
      <c r="C963" s="321"/>
      <c r="D963" s="59">
        <v>0</v>
      </c>
      <c r="E963" s="60" t="s">
        <v>591</v>
      </c>
      <c r="F963" s="62"/>
      <c r="K963" s="16"/>
    </row>
    <row r="964" spans="1:11" ht="15" customHeight="1">
      <c r="A964" s="368"/>
      <c r="B964" s="257"/>
      <c r="C964" s="322"/>
      <c r="D964" s="371" t="s">
        <v>27</v>
      </c>
      <c r="E964" s="372"/>
      <c r="F964" s="63">
        <f>IF(G958="Salah isi",0,F958)</f>
        <v>0</v>
      </c>
      <c r="K964" s="16"/>
    </row>
    <row r="965" spans="1:11">
      <c r="K965" s="8"/>
    </row>
    <row r="966" spans="1:11" ht="50.25" customHeight="1">
      <c r="A966" s="366">
        <v>69</v>
      </c>
      <c r="B966" s="255"/>
      <c r="C966" s="320" t="s">
        <v>592</v>
      </c>
      <c r="D966" s="369" t="s">
        <v>593</v>
      </c>
      <c r="E966" s="370"/>
      <c r="F966" s="57" t="s">
        <v>5</v>
      </c>
      <c r="G966" s="15" t="str">
        <f>IF(OR(ISBLANK(F966),F966&gt;4),"Salah isi","judge")</f>
        <v>Salah isi</v>
      </c>
      <c r="K966" s="58"/>
    </row>
    <row r="967" spans="1:11" ht="105">
      <c r="A967" s="367"/>
      <c r="B967" s="256"/>
      <c r="C967" s="321"/>
      <c r="D967" s="59">
        <v>4</v>
      </c>
      <c r="E967" s="60" t="s">
        <v>594</v>
      </c>
      <c r="F967" s="61"/>
      <c r="K967" s="230"/>
    </row>
    <row r="968" spans="1:11" ht="90">
      <c r="A968" s="367"/>
      <c r="B968" s="256"/>
      <c r="C968" s="321"/>
      <c r="D968" s="59">
        <v>3</v>
      </c>
      <c r="E968" s="60" t="s">
        <v>595</v>
      </c>
      <c r="F968" s="61"/>
      <c r="K968" s="230"/>
    </row>
    <row r="969" spans="1:11" ht="75">
      <c r="A969" s="367"/>
      <c r="B969" s="256"/>
      <c r="C969" s="321"/>
      <c r="D969" s="59">
        <v>2</v>
      </c>
      <c r="E969" s="60" t="s">
        <v>596</v>
      </c>
      <c r="F969" s="61"/>
      <c r="K969" s="230"/>
    </row>
    <row r="970" spans="1:11" ht="30">
      <c r="A970" s="367"/>
      <c r="B970" s="256"/>
      <c r="C970" s="321"/>
      <c r="D970" s="59">
        <v>1</v>
      </c>
      <c r="E970" s="60" t="s">
        <v>597</v>
      </c>
      <c r="F970" s="61"/>
      <c r="K970" s="230"/>
    </row>
    <row r="971" spans="1:11" ht="30">
      <c r="A971" s="367"/>
      <c r="B971" s="256"/>
      <c r="C971" s="321"/>
      <c r="D971" s="59">
        <v>0</v>
      </c>
      <c r="E971" s="60" t="s">
        <v>598</v>
      </c>
      <c r="F971" s="62"/>
      <c r="K971" s="230"/>
    </row>
    <row r="972" spans="1:11" ht="15" customHeight="1">
      <c r="A972" s="368"/>
      <c r="B972" s="257"/>
      <c r="C972" s="322"/>
      <c r="D972" s="371" t="s">
        <v>27</v>
      </c>
      <c r="E972" s="372"/>
      <c r="F972" s="63">
        <f>IF(G966="Salah isi",0,F966)</f>
        <v>0</v>
      </c>
      <c r="K972" s="230"/>
    </row>
  </sheetData>
  <protectedRanges>
    <protectedRange sqref="F859 F815 F432:F436 F797 F923 F933 F928 F825 F372:F376 F245 F278 F201 F208 F263 F224:F229 F849 F708 F66:F70 F72:F76 F638:F642 F722:F731 F737:F743 F182:F186 F188:F192 F215 F253 F87 F80:F84 F271 F346 F353 F115:F119 F123:F127 F131:F135 F139:F143 F452:F456 F440:F444 F446:F450 F460:F464 F474:F478 F468:F472 F541:F545 F569:F573 F607:F611 F488:F492 F521:F525 F553:F557 F529:F533 F547:F551 F535:F539 F506:F510 F494:F498 F616:F620 F482:F486 F500:F504 F380:F384 F416:F420 F424:F428 F653:F657 F360 F767 F787 F943:F947 F951:F955 F959:F963 F967:F971 F661:F669 F167:F172 F147:F152 F159:F163 F757 F195 F750:F754" name="Skor 1 sd 10"/>
    <protectedRange sqref="K958:K964 K966:K972 K630:K635 K568:K628 K643:K650 K768:K796 K798:K824 K826:K858 K400:K405 K407:K412 K414:K518 K652:K766 K520:K566 K860:K956 K8:K398" name="Informasi Borang_1"/>
    <protectedRange sqref="F709:F717" name="Skor 1 sd 10_1"/>
    <protectedRange sqref="F386:F390" name="Skor 1 sd 10_2"/>
  </protectedRanges>
  <mergeCells count="572">
    <mergeCell ref="B8:B17"/>
    <mergeCell ref="B19:B24"/>
    <mergeCell ref="B26:B32"/>
    <mergeCell ref="A1:I1"/>
    <mergeCell ref="A2:I2"/>
    <mergeCell ref="A7:K7"/>
    <mergeCell ref="A18:K18"/>
    <mergeCell ref="B56:B63"/>
    <mergeCell ref="D38:E38"/>
    <mergeCell ref="D54:E54"/>
    <mergeCell ref="D63:E63"/>
    <mergeCell ref="D65:E65"/>
    <mergeCell ref="D71:E71"/>
    <mergeCell ref="E69:E70"/>
    <mergeCell ref="K1:K4"/>
    <mergeCell ref="D6:E6"/>
    <mergeCell ref="D17:E17"/>
    <mergeCell ref="D24:E24"/>
    <mergeCell ref="D32:E32"/>
    <mergeCell ref="D77:E77"/>
    <mergeCell ref="D79:E79"/>
    <mergeCell ref="D85:E85"/>
    <mergeCell ref="D87:E87"/>
    <mergeCell ref="D88:E88"/>
    <mergeCell ref="D89:E89"/>
    <mergeCell ref="D90:E90"/>
    <mergeCell ref="D91:E91"/>
    <mergeCell ref="D92:E92"/>
    <mergeCell ref="D97:E97"/>
    <mergeCell ref="D98:E98"/>
    <mergeCell ref="D99:E99"/>
    <mergeCell ref="D100:E100"/>
    <mergeCell ref="D101:E101"/>
    <mergeCell ref="D110:E110"/>
    <mergeCell ref="D111:E111"/>
    <mergeCell ref="D112:E112"/>
    <mergeCell ref="D114:E114"/>
    <mergeCell ref="D120:E120"/>
    <mergeCell ref="D122:E122"/>
    <mergeCell ref="D128:E128"/>
    <mergeCell ref="D130:E130"/>
    <mergeCell ref="D136:E136"/>
    <mergeCell ref="D138:E138"/>
    <mergeCell ref="D144:E144"/>
    <mergeCell ref="D146:E146"/>
    <mergeCell ref="D152:E152"/>
    <mergeCell ref="D153:E153"/>
    <mergeCell ref="D154:E154"/>
    <mergeCell ref="D155:E155"/>
    <mergeCell ref="D157:E157"/>
    <mergeCell ref="D158:E158"/>
    <mergeCell ref="D164:E164"/>
    <mergeCell ref="D166:E166"/>
    <mergeCell ref="D172:E172"/>
    <mergeCell ref="D173:E173"/>
    <mergeCell ref="D174:E174"/>
    <mergeCell ref="D175:E175"/>
    <mergeCell ref="D176:E176"/>
    <mergeCell ref="D178:E178"/>
    <mergeCell ref="D179:E179"/>
    <mergeCell ref="D181:E181"/>
    <mergeCell ref="D187:E187"/>
    <mergeCell ref="D193:E193"/>
    <mergeCell ref="D195:E195"/>
    <mergeCell ref="D196:E196"/>
    <mergeCell ref="D199:E199"/>
    <mergeCell ref="D201:E201"/>
    <mergeCell ref="D202:E202"/>
    <mergeCell ref="D203:E203"/>
    <mergeCell ref="D204:E204"/>
    <mergeCell ref="D206:E206"/>
    <mergeCell ref="D208:E208"/>
    <mergeCell ref="D209:E209"/>
    <mergeCell ref="D210:E210"/>
    <mergeCell ref="D211:E211"/>
    <mergeCell ref="D213:E213"/>
    <mergeCell ref="D215:E215"/>
    <mergeCell ref="D216:E216"/>
    <mergeCell ref="D217:E217"/>
    <mergeCell ref="D218:E218"/>
    <mergeCell ref="D219:E219"/>
    <mergeCell ref="D220:E220"/>
    <mergeCell ref="D222:E222"/>
    <mergeCell ref="D224:E224"/>
    <mergeCell ref="D230:E230"/>
    <mergeCell ref="D231:E231"/>
    <mergeCell ref="D232:E232"/>
    <mergeCell ref="D233:E233"/>
    <mergeCell ref="D237:E237"/>
    <mergeCell ref="D241:E241"/>
    <mergeCell ref="D242:F242"/>
    <mergeCell ref="D243:E243"/>
    <mergeCell ref="D245:E245"/>
    <mergeCell ref="D246:E246"/>
    <mergeCell ref="D247:E247"/>
    <mergeCell ref="D248:E248"/>
    <mergeCell ref="D251:E251"/>
    <mergeCell ref="D253:E253"/>
    <mergeCell ref="D254:E254"/>
    <mergeCell ref="D255:E255"/>
    <mergeCell ref="D256:E256"/>
    <mergeCell ref="D261:E261"/>
    <mergeCell ref="D263:E263"/>
    <mergeCell ref="D264:E264"/>
    <mergeCell ref="D265:E265"/>
    <mergeCell ref="D266:E266"/>
    <mergeCell ref="D269:E269"/>
    <mergeCell ref="D271:E271"/>
    <mergeCell ref="D272:E272"/>
    <mergeCell ref="D273:E273"/>
    <mergeCell ref="D274:E274"/>
    <mergeCell ref="D276:E276"/>
    <mergeCell ref="D278:E278"/>
    <mergeCell ref="D279:E279"/>
    <mergeCell ref="D280:E280"/>
    <mergeCell ref="D281:E281"/>
    <mergeCell ref="D283:E283"/>
    <mergeCell ref="D285:E285"/>
    <mergeCell ref="D286:E286"/>
    <mergeCell ref="D287:E287"/>
    <mergeCell ref="D288:E288"/>
    <mergeCell ref="D289:E289"/>
    <mergeCell ref="D290:E290"/>
    <mergeCell ref="D291:E291"/>
    <mergeCell ref="D292:E292"/>
    <mergeCell ref="D301:E301"/>
    <mergeCell ref="D303:E303"/>
    <mergeCell ref="D304:E304"/>
    <mergeCell ref="D305:E305"/>
    <mergeCell ref="D306:E306"/>
    <mergeCell ref="D307:E307"/>
    <mergeCell ref="D308:E308"/>
    <mergeCell ref="D309:E309"/>
    <mergeCell ref="D310:E310"/>
    <mergeCell ref="D319:E319"/>
    <mergeCell ref="D321:E321"/>
    <mergeCell ref="D322:E322"/>
    <mergeCell ref="D323:E323"/>
    <mergeCell ref="D324:E324"/>
    <mergeCell ref="D325:E325"/>
    <mergeCell ref="D326:E326"/>
    <mergeCell ref="D327:E327"/>
    <mergeCell ref="D328:E328"/>
    <mergeCell ref="D329:E329"/>
    <mergeCell ref="D330:E330"/>
    <mergeCell ref="D331:E331"/>
    <mergeCell ref="D332:E332"/>
    <mergeCell ref="D333:E333"/>
    <mergeCell ref="D334:E334"/>
    <mergeCell ref="D335:E335"/>
    <mergeCell ref="D344:E344"/>
    <mergeCell ref="D346:E346"/>
    <mergeCell ref="D347:E347"/>
    <mergeCell ref="D348:E348"/>
    <mergeCell ref="D349:E349"/>
    <mergeCell ref="D351:E351"/>
    <mergeCell ref="D353:E353"/>
    <mergeCell ref="D354:E354"/>
    <mergeCell ref="D355:E355"/>
    <mergeCell ref="D356:E356"/>
    <mergeCell ref="D358:E358"/>
    <mergeCell ref="D360:E360"/>
    <mergeCell ref="D361:E361"/>
    <mergeCell ref="D362:E362"/>
    <mergeCell ref="D363:E363"/>
    <mergeCell ref="D364:E364"/>
    <mergeCell ref="D365:E365"/>
    <mergeCell ref="D366:E366"/>
    <mergeCell ref="D368:E368"/>
    <mergeCell ref="D370:E370"/>
    <mergeCell ref="D371:E371"/>
    <mergeCell ref="D377:E377"/>
    <mergeCell ref="D379:E379"/>
    <mergeCell ref="D385:E385"/>
    <mergeCell ref="D391:E391"/>
    <mergeCell ref="D393:E393"/>
    <mergeCell ref="D394:E394"/>
    <mergeCell ref="D395:E395"/>
    <mergeCell ref="D396:E396"/>
    <mergeCell ref="D398:E398"/>
    <mergeCell ref="D400:E400"/>
    <mergeCell ref="D401:E401"/>
    <mergeCell ref="D402:E402"/>
    <mergeCell ref="D403:E403"/>
    <mergeCell ref="D405:E405"/>
    <mergeCell ref="D407:E407"/>
    <mergeCell ref="D408:E408"/>
    <mergeCell ref="D409:E409"/>
    <mergeCell ref="D410:E410"/>
    <mergeCell ref="D412:E412"/>
    <mergeCell ref="D414:E414"/>
    <mergeCell ref="D415:E415"/>
    <mergeCell ref="D421:E421"/>
    <mergeCell ref="D423:E423"/>
    <mergeCell ref="D429:E429"/>
    <mergeCell ref="D431:E431"/>
    <mergeCell ref="D437:E437"/>
    <mergeCell ref="D439:E439"/>
    <mergeCell ref="D445:E445"/>
    <mergeCell ref="D451:E451"/>
    <mergeCell ref="D457:E457"/>
    <mergeCell ref="D459:E459"/>
    <mergeCell ref="D465:E465"/>
    <mergeCell ref="D467:E467"/>
    <mergeCell ref="D473:E473"/>
    <mergeCell ref="D479:E479"/>
    <mergeCell ref="D481:E481"/>
    <mergeCell ref="D487:E487"/>
    <mergeCell ref="D493:E493"/>
    <mergeCell ref="D499:E499"/>
    <mergeCell ref="D505:E505"/>
    <mergeCell ref="D511:E511"/>
    <mergeCell ref="D513:E513"/>
    <mergeCell ref="D514:E514"/>
    <mergeCell ref="D515:E515"/>
    <mergeCell ref="D516:E516"/>
    <mergeCell ref="D518:E518"/>
    <mergeCell ref="D520:E520"/>
    <mergeCell ref="D526:E526"/>
    <mergeCell ref="D528:E528"/>
    <mergeCell ref="D534:E534"/>
    <mergeCell ref="D540:E540"/>
    <mergeCell ref="D546:E546"/>
    <mergeCell ref="D552:E552"/>
    <mergeCell ref="D558:E558"/>
    <mergeCell ref="D560:E560"/>
    <mergeCell ref="D561:E561"/>
    <mergeCell ref="D566:E566"/>
    <mergeCell ref="D568:E568"/>
    <mergeCell ref="D574:E574"/>
    <mergeCell ref="D576:E576"/>
    <mergeCell ref="D602:E602"/>
    <mergeCell ref="D605:E605"/>
    <mergeCell ref="D606:E606"/>
    <mergeCell ref="D612:E612"/>
    <mergeCell ref="D613:E613"/>
    <mergeCell ref="D615:E615"/>
    <mergeCell ref="D621:E621"/>
    <mergeCell ref="D623:E623"/>
    <mergeCell ref="D624:E624"/>
    <mergeCell ref="D625:E625"/>
    <mergeCell ref="D626:E626"/>
    <mergeCell ref="D628:E628"/>
    <mergeCell ref="D630:E630"/>
    <mergeCell ref="D631:E631"/>
    <mergeCell ref="D632:E632"/>
    <mergeCell ref="D633:E633"/>
    <mergeCell ref="D635:E635"/>
    <mergeCell ref="D637:E637"/>
    <mergeCell ref="D643:E643"/>
    <mergeCell ref="D645:E645"/>
    <mergeCell ref="D646:E646"/>
    <mergeCell ref="D647:E647"/>
    <mergeCell ref="D648:E648"/>
    <mergeCell ref="D650:E650"/>
    <mergeCell ref="D652:E652"/>
    <mergeCell ref="D658:E658"/>
    <mergeCell ref="D660:E660"/>
    <mergeCell ref="D661:E661"/>
    <mergeCell ref="D662:E662"/>
    <mergeCell ref="D663:E663"/>
    <mergeCell ref="D664:E664"/>
    <mergeCell ref="D665:E665"/>
    <mergeCell ref="D666:E666"/>
    <mergeCell ref="D670:E670"/>
    <mergeCell ref="D672:E672"/>
    <mergeCell ref="D673:E673"/>
    <mergeCell ref="D674:E674"/>
    <mergeCell ref="D675:E675"/>
    <mergeCell ref="D676:E676"/>
    <mergeCell ref="D677:E677"/>
    <mergeCell ref="D678:E678"/>
    <mergeCell ref="D679:E679"/>
    <mergeCell ref="D688:E688"/>
    <mergeCell ref="D690:E690"/>
    <mergeCell ref="D691:E691"/>
    <mergeCell ref="D692:E692"/>
    <mergeCell ref="D693:E693"/>
    <mergeCell ref="D694:E694"/>
    <mergeCell ref="D695:E695"/>
    <mergeCell ref="D696:E696"/>
    <mergeCell ref="D697:E697"/>
    <mergeCell ref="D706:E706"/>
    <mergeCell ref="D708:E708"/>
    <mergeCell ref="D709:E709"/>
    <mergeCell ref="D710:E710"/>
    <mergeCell ref="D711:E711"/>
    <mergeCell ref="D712:E712"/>
    <mergeCell ref="D713:E713"/>
    <mergeCell ref="D714:E714"/>
    <mergeCell ref="D715:E715"/>
    <mergeCell ref="D716:E716"/>
    <mergeCell ref="D717:E717"/>
    <mergeCell ref="D720:E720"/>
    <mergeCell ref="D722:E722"/>
    <mergeCell ref="D723:E723"/>
    <mergeCell ref="D724:E724"/>
    <mergeCell ref="D725:E725"/>
    <mergeCell ref="D726:E726"/>
    <mergeCell ref="D727:E727"/>
    <mergeCell ref="D728:E728"/>
    <mergeCell ref="D729:E729"/>
    <mergeCell ref="D730:E730"/>
    <mergeCell ref="D731:E731"/>
    <mergeCell ref="D735:E735"/>
    <mergeCell ref="D737:E737"/>
    <mergeCell ref="D738:E738"/>
    <mergeCell ref="D739:E739"/>
    <mergeCell ref="D740:E740"/>
    <mergeCell ref="D743:E743"/>
    <mergeCell ref="D747:E747"/>
    <mergeCell ref="D749:E749"/>
    <mergeCell ref="D755:E755"/>
    <mergeCell ref="D757:E757"/>
    <mergeCell ref="D758:E758"/>
    <mergeCell ref="D759:E759"/>
    <mergeCell ref="D760:E760"/>
    <mergeCell ref="D761:E761"/>
    <mergeCell ref="D762:E762"/>
    <mergeCell ref="D763:E763"/>
    <mergeCell ref="D765:E765"/>
    <mergeCell ref="D767:E767"/>
    <mergeCell ref="D783:E783"/>
    <mergeCell ref="D784:E784"/>
    <mergeCell ref="D785:E785"/>
    <mergeCell ref="D787:E787"/>
    <mergeCell ref="D788:E788"/>
    <mergeCell ref="D789:E789"/>
    <mergeCell ref="D790:E790"/>
    <mergeCell ref="D791:E791"/>
    <mergeCell ref="D792:E792"/>
    <mergeCell ref="D793:E793"/>
    <mergeCell ref="D795:E795"/>
    <mergeCell ref="D797:E797"/>
    <mergeCell ref="D811:E811"/>
    <mergeCell ref="D812:E812"/>
    <mergeCell ref="D813:E813"/>
    <mergeCell ref="D815:E815"/>
    <mergeCell ref="D816:E816"/>
    <mergeCell ref="D817:E817"/>
    <mergeCell ref="D818:E818"/>
    <mergeCell ref="D819:E819"/>
    <mergeCell ref="D820:E820"/>
    <mergeCell ref="D821:E821"/>
    <mergeCell ref="D823:E823"/>
    <mergeCell ref="D825:E825"/>
    <mergeCell ref="D835:E835"/>
    <mergeCell ref="D836:E836"/>
    <mergeCell ref="D837:E837"/>
    <mergeCell ref="D846:E846"/>
    <mergeCell ref="D847:E847"/>
    <mergeCell ref="D849:E849"/>
    <mergeCell ref="D850:E850"/>
    <mergeCell ref="D851:E851"/>
    <mergeCell ref="D852:E852"/>
    <mergeCell ref="D853:E853"/>
    <mergeCell ref="D854:E854"/>
    <mergeCell ref="D855:E855"/>
    <mergeCell ref="D857:E857"/>
    <mergeCell ref="D859:E859"/>
    <mergeCell ref="D895:E895"/>
    <mergeCell ref="D885:D889"/>
    <mergeCell ref="D890:D894"/>
    <mergeCell ref="D870:D874"/>
    <mergeCell ref="D875:D879"/>
    <mergeCell ref="D880:D884"/>
    <mergeCell ref="D912:E912"/>
    <mergeCell ref="D921:E921"/>
    <mergeCell ref="D923:E923"/>
    <mergeCell ref="D896:E896"/>
    <mergeCell ref="D898:E898"/>
    <mergeCell ref="D899:E899"/>
    <mergeCell ref="D900:E900"/>
    <mergeCell ref="D901:E901"/>
    <mergeCell ref="D902:E902"/>
    <mergeCell ref="D903:E903"/>
    <mergeCell ref="D904:E904"/>
    <mergeCell ref="D905:E905"/>
    <mergeCell ref="A208:A213"/>
    <mergeCell ref="A215:A222"/>
    <mergeCell ref="A224:A243"/>
    <mergeCell ref="A245:A251"/>
    <mergeCell ref="D937:E937"/>
    <mergeCell ref="D938:E938"/>
    <mergeCell ref="D940:E940"/>
    <mergeCell ref="D942:E942"/>
    <mergeCell ref="D948:E948"/>
    <mergeCell ref="D924:E924"/>
    <mergeCell ref="D926:E926"/>
    <mergeCell ref="D928:E928"/>
    <mergeCell ref="D929:E929"/>
    <mergeCell ref="D931:E931"/>
    <mergeCell ref="D933:E933"/>
    <mergeCell ref="D934:E934"/>
    <mergeCell ref="D935:E935"/>
    <mergeCell ref="D936:E936"/>
    <mergeCell ref="D906:E906"/>
    <mergeCell ref="D907:E907"/>
    <mergeCell ref="D908:E908"/>
    <mergeCell ref="D909:E909"/>
    <mergeCell ref="D910:E910"/>
    <mergeCell ref="D911:E911"/>
    <mergeCell ref="A114:A120"/>
    <mergeCell ref="A122:A128"/>
    <mergeCell ref="A130:A136"/>
    <mergeCell ref="A138:A144"/>
    <mergeCell ref="A146:A164"/>
    <mergeCell ref="A166:A179"/>
    <mergeCell ref="A181:A193"/>
    <mergeCell ref="A195:A199"/>
    <mergeCell ref="A201:A206"/>
    <mergeCell ref="A8:A17"/>
    <mergeCell ref="A19:A24"/>
    <mergeCell ref="A26:A32"/>
    <mergeCell ref="A34:A38"/>
    <mergeCell ref="A40:A54"/>
    <mergeCell ref="A56:A63"/>
    <mergeCell ref="A65:A77"/>
    <mergeCell ref="A79:A85"/>
    <mergeCell ref="A87:A112"/>
    <mergeCell ref="A253:A261"/>
    <mergeCell ref="A263:A269"/>
    <mergeCell ref="A271:A276"/>
    <mergeCell ref="A278:A283"/>
    <mergeCell ref="A285:A301"/>
    <mergeCell ref="A303:A319"/>
    <mergeCell ref="A321:A344"/>
    <mergeCell ref="A346:A351"/>
    <mergeCell ref="A353:A358"/>
    <mergeCell ref="A360:A368"/>
    <mergeCell ref="A370:A377"/>
    <mergeCell ref="A379:A391"/>
    <mergeCell ref="A393:A398"/>
    <mergeCell ref="A400:A405"/>
    <mergeCell ref="A407:A412"/>
    <mergeCell ref="A414:A421"/>
    <mergeCell ref="A423:A429"/>
    <mergeCell ref="A431:A437"/>
    <mergeCell ref="A439:A457"/>
    <mergeCell ref="A459:A465"/>
    <mergeCell ref="A467:A479"/>
    <mergeCell ref="A481:A511"/>
    <mergeCell ref="A513:A518"/>
    <mergeCell ref="A520:A526"/>
    <mergeCell ref="A528:A558"/>
    <mergeCell ref="A560:A566"/>
    <mergeCell ref="A568:A574"/>
    <mergeCell ref="A722:A735"/>
    <mergeCell ref="A737:A747"/>
    <mergeCell ref="A749:A755"/>
    <mergeCell ref="A757:A785"/>
    <mergeCell ref="A787:A813"/>
    <mergeCell ref="A815:A847"/>
    <mergeCell ref="A849:A896"/>
    <mergeCell ref="A576:A613"/>
    <mergeCell ref="A615:A621"/>
    <mergeCell ref="A623:A628"/>
    <mergeCell ref="A630:A635"/>
    <mergeCell ref="A637:A643"/>
    <mergeCell ref="A645:A650"/>
    <mergeCell ref="A652:A658"/>
    <mergeCell ref="A660:A670"/>
    <mergeCell ref="A672:A688"/>
    <mergeCell ref="A898:A921"/>
    <mergeCell ref="A923:A926"/>
    <mergeCell ref="A928:A931"/>
    <mergeCell ref="A933:A940"/>
    <mergeCell ref="A942:A948"/>
    <mergeCell ref="A950:A956"/>
    <mergeCell ref="A958:A964"/>
    <mergeCell ref="A966:A972"/>
    <mergeCell ref="C65:C77"/>
    <mergeCell ref="C79:C85"/>
    <mergeCell ref="C87:C112"/>
    <mergeCell ref="C114:C120"/>
    <mergeCell ref="C122:C128"/>
    <mergeCell ref="C130:C136"/>
    <mergeCell ref="C138:C144"/>
    <mergeCell ref="C146:C164"/>
    <mergeCell ref="C166:C179"/>
    <mergeCell ref="C181:C193"/>
    <mergeCell ref="C195:C199"/>
    <mergeCell ref="C201:C206"/>
    <mergeCell ref="C208:C213"/>
    <mergeCell ref="A690:A706"/>
    <mergeCell ref="A708:A720"/>
    <mergeCell ref="C370:C377"/>
    <mergeCell ref="C379:C391"/>
    <mergeCell ref="C393:C398"/>
    <mergeCell ref="C400:C405"/>
    <mergeCell ref="C407:C412"/>
    <mergeCell ref="C215:C222"/>
    <mergeCell ref="C224:C243"/>
    <mergeCell ref="C245:C251"/>
    <mergeCell ref="C253:C261"/>
    <mergeCell ref="C263:C269"/>
    <mergeCell ref="C271:C276"/>
    <mergeCell ref="C278:C283"/>
    <mergeCell ref="C285:C301"/>
    <mergeCell ref="C303:C319"/>
    <mergeCell ref="C958:C964"/>
    <mergeCell ref="C966:C972"/>
    <mergeCell ref="D577:D581"/>
    <mergeCell ref="D582:D586"/>
    <mergeCell ref="D587:D591"/>
    <mergeCell ref="D592:D596"/>
    <mergeCell ref="D597:D601"/>
    <mergeCell ref="D768:D770"/>
    <mergeCell ref="D771:D773"/>
    <mergeCell ref="D774:D776"/>
    <mergeCell ref="D798:D800"/>
    <mergeCell ref="D801:D803"/>
    <mergeCell ref="D804:D806"/>
    <mergeCell ref="D826:D828"/>
    <mergeCell ref="D829:D831"/>
    <mergeCell ref="D832:D834"/>
    <mergeCell ref="D860:D864"/>
    <mergeCell ref="D865:D869"/>
    <mergeCell ref="D966:E966"/>
    <mergeCell ref="D972:E972"/>
    <mergeCell ref="D950:E950"/>
    <mergeCell ref="D956:E956"/>
    <mergeCell ref="D958:E958"/>
    <mergeCell ref="D964:E964"/>
    <mergeCell ref="E118:E119"/>
    <mergeCell ref="E497:E498"/>
    <mergeCell ref="E503:E504"/>
    <mergeCell ref="F69:F70"/>
    <mergeCell ref="F497:F498"/>
    <mergeCell ref="F503:F504"/>
    <mergeCell ref="C630:C635"/>
    <mergeCell ref="C637:C643"/>
    <mergeCell ref="C645:C650"/>
    <mergeCell ref="C528:C558"/>
    <mergeCell ref="C560:C566"/>
    <mergeCell ref="C568:C574"/>
    <mergeCell ref="C576:C613"/>
    <mergeCell ref="C615:C621"/>
    <mergeCell ref="C623:C628"/>
    <mergeCell ref="C414:C421"/>
    <mergeCell ref="C423:C429"/>
    <mergeCell ref="C431:C437"/>
    <mergeCell ref="C439:C457"/>
    <mergeCell ref="C459:C465"/>
    <mergeCell ref="C467:C479"/>
    <mergeCell ref="C481:C511"/>
    <mergeCell ref="C513:C518"/>
    <mergeCell ref="C520:C526"/>
    <mergeCell ref="B34:B38"/>
    <mergeCell ref="B40:B54"/>
    <mergeCell ref="C933:C940"/>
    <mergeCell ref="C942:C948"/>
    <mergeCell ref="C950:C956"/>
    <mergeCell ref="C787:C813"/>
    <mergeCell ref="C815:C847"/>
    <mergeCell ref="C849:C896"/>
    <mergeCell ref="C898:C921"/>
    <mergeCell ref="C923:C926"/>
    <mergeCell ref="C928:C931"/>
    <mergeCell ref="C737:C747"/>
    <mergeCell ref="C749:C755"/>
    <mergeCell ref="C757:C785"/>
    <mergeCell ref="C652:C658"/>
    <mergeCell ref="C660:C670"/>
    <mergeCell ref="C672:C688"/>
    <mergeCell ref="C690:C706"/>
    <mergeCell ref="C708:C720"/>
    <mergeCell ref="C722:C735"/>
    <mergeCell ref="C321:C344"/>
    <mergeCell ref="C346:C351"/>
    <mergeCell ref="C353:C358"/>
    <mergeCell ref="C360:C368"/>
  </mergeCells>
  <conditionalFormatting sqref="G26:H26 G27:G31 H28 H30">
    <cfRule type="containsText" dxfId="79" priority="351" operator="containsText" text="Salah isi">
      <formula>NOT(ISERROR(SEARCH("Salah isi",G26)))</formula>
    </cfRule>
  </conditionalFormatting>
  <conditionalFormatting sqref="G34:H34 G35:G37">
    <cfRule type="containsText" dxfId="78" priority="352" operator="containsText" text="Salah isi">
      <formula>NOT(ISERROR(SEARCH("Salah isi",G34)))</formula>
    </cfRule>
  </conditionalFormatting>
  <conditionalFormatting sqref="G8:I16">
    <cfRule type="containsText" dxfId="77" priority="350" operator="containsText" text="Salah isi">
      <formula>NOT(ISERROR(SEARCH("Salah isi",G8)))</formula>
    </cfRule>
  </conditionalFormatting>
  <conditionalFormatting sqref="G19:I23">
    <cfRule type="containsText" dxfId="76" priority="6" operator="containsText" text="Salah isi">
      <formula>NOT(ISERROR(SEARCH("Salah isi",G19)))</formula>
    </cfRule>
  </conditionalFormatting>
  <conditionalFormatting sqref="G40:I53">
    <cfRule type="containsText" dxfId="75" priority="3" operator="containsText" text="Salah isi">
      <formula>NOT(ISERROR(SEARCH("Salah isi",G40)))</formula>
    </cfRule>
  </conditionalFormatting>
  <conditionalFormatting sqref="G56:G61">
    <cfRule type="containsText" dxfId="74" priority="354" operator="containsText" text="Salah isi">
      <formula>NOT(ISERROR(SEARCH("Salah isi",G56)))</formula>
    </cfRule>
  </conditionalFormatting>
  <conditionalFormatting sqref="G62">
    <cfRule type="containsText" dxfId="73" priority="348" operator="containsText" text="Salah isi">
      <formula>NOT(ISERROR(SEARCH("Salah isi",G62)))</formula>
    </cfRule>
  </conditionalFormatting>
  <conditionalFormatting sqref="G65:I65">
    <cfRule type="containsText" dxfId="72" priority="347" operator="containsText" text="Salah isi">
      <formula>NOT(ISERROR(SEARCH("Salah isi",G65)))</formula>
    </cfRule>
  </conditionalFormatting>
  <conditionalFormatting sqref="G71:I71">
    <cfRule type="containsText" dxfId="71" priority="346" operator="containsText" text="Salah isi">
      <formula>NOT(ISERROR(SEARCH("Salah isi",G71)))</formula>
    </cfRule>
  </conditionalFormatting>
  <conditionalFormatting sqref="G79:I79">
    <cfRule type="containsText" dxfId="70" priority="345" operator="containsText" text="Salah isi">
      <formula>NOT(ISERROR(SEARCH("Salah isi",G79)))</formula>
    </cfRule>
  </conditionalFormatting>
  <conditionalFormatting sqref="G114:I114">
    <cfRule type="containsText" dxfId="69" priority="344" operator="containsText" text="Salah isi">
      <formula>NOT(ISERROR(SEARCH("Salah isi",G114)))</formula>
    </cfRule>
  </conditionalFormatting>
  <conditionalFormatting sqref="G122:I122">
    <cfRule type="containsText" dxfId="68" priority="355" operator="containsText" text="Salah isi">
      <formula>NOT(ISERROR(SEARCH("Salah isi",G122)))</formula>
    </cfRule>
  </conditionalFormatting>
  <conditionalFormatting sqref="G130:I130">
    <cfRule type="containsText" dxfId="67" priority="359" operator="containsText" text="Salah isi">
      <formula>NOT(ISERROR(SEARCH("Salah isi",G130)))</formula>
    </cfRule>
  </conditionalFormatting>
  <conditionalFormatting sqref="G138:I138">
    <cfRule type="containsText" dxfId="66" priority="356" operator="containsText" text="Salah isi">
      <formula>NOT(ISERROR(SEARCH("Salah isi",G138)))</formula>
    </cfRule>
  </conditionalFormatting>
  <conditionalFormatting sqref="G158:I159">
    <cfRule type="containsText" dxfId="65" priority="8" operator="containsText" text="Salah isi">
      <formula>NOT(ISERROR(SEARCH("Salah isi",G158)))</formula>
    </cfRule>
  </conditionalFormatting>
  <conditionalFormatting sqref="G166:I166">
    <cfRule type="containsText" dxfId="64" priority="46" operator="containsText" text="Salah isi">
      <formula>NOT(ISERROR(SEARCH("Salah isi",G166)))</formula>
    </cfRule>
  </conditionalFormatting>
  <conditionalFormatting sqref="G181:I181">
    <cfRule type="containsText" dxfId="63" priority="341" operator="containsText" text="Salah isi">
      <formula>NOT(ISERROR(SEARCH("Salah isi",G181)))</formula>
    </cfRule>
  </conditionalFormatting>
  <conditionalFormatting sqref="G187:I187">
    <cfRule type="containsText" dxfId="62" priority="340" operator="containsText" text="Salah isi">
      <formula>NOT(ISERROR(SEARCH("Salah isi",G187)))</formula>
    </cfRule>
  </conditionalFormatting>
  <conditionalFormatting sqref="G370:I371">
    <cfRule type="containsText" dxfId="61" priority="339" operator="containsText" text="Salah isi">
      <formula>NOT(ISERROR(SEARCH("Salah isi",G370)))</formula>
    </cfRule>
  </conditionalFormatting>
  <conditionalFormatting sqref="G379:I379">
    <cfRule type="containsText" dxfId="60" priority="338" operator="containsText" text="Salah isi">
      <formula>NOT(ISERROR(SEARCH("Salah isi",G379)))</formula>
    </cfRule>
  </conditionalFormatting>
  <conditionalFormatting sqref="G385:I385">
    <cfRule type="containsText" dxfId="59" priority="337" operator="containsText" text="Salah isi">
      <formula>NOT(ISERROR(SEARCH("Salah isi",G385)))</formula>
    </cfRule>
  </conditionalFormatting>
  <conditionalFormatting sqref="G414:I415">
    <cfRule type="containsText" dxfId="58" priority="336" operator="containsText" text="Salah isi">
      <formula>NOT(ISERROR(SEARCH("Salah isi",G414)))</formula>
    </cfRule>
  </conditionalFormatting>
  <conditionalFormatting sqref="G423:I423">
    <cfRule type="containsText" dxfId="57" priority="335" operator="containsText" text="Salah isi">
      <formula>NOT(ISERROR(SEARCH("Salah isi",G423)))</formula>
    </cfRule>
  </conditionalFormatting>
  <conditionalFormatting sqref="G431:I431">
    <cfRule type="containsText" dxfId="56" priority="334" operator="containsText" text="Salah isi">
      <formula>NOT(ISERROR(SEARCH("Salah isi",G431)))</formula>
    </cfRule>
  </conditionalFormatting>
  <conditionalFormatting sqref="G439:I439">
    <cfRule type="containsText" dxfId="55" priority="333" operator="containsText" text="Salah isi">
      <formula>NOT(ISERROR(SEARCH("Salah isi",G439)))</formula>
    </cfRule>
  </conditionalFormatting>
  <conditionalFormatting sqref="G445:I445">
    <cfRule type="containsText" dxfId="54" priority="332" operator="containsText" text="Salah isi">
      <formula>NOT(ISERROR(SEARCH("Salah isi",G445)))</formula>
    </cfRule>
  </conditionalFormatting>
  <conditionalFormatting sqref="G451:I451">
    <cfRule type="containsText" dxfId="53" priority="331" operator="containsText" text="Salah isi">
      <formula>NOT(ISERROR(SEARCH("Salah isi",G451)))</formula>
    </cfRule>
  </conditionalFormatting>
  <conditionalFormatting sqref="G459:I459">
    <cfRule type="containsText" dxfId="52" priority="330" operator="containsText" text="Salah isi">
      <formula>NOT(ISERROR(SEARCH("Salah isi",G459)))</formula>
    </cfRule>
  </conditionalFormatting>
  <conditionalFormatting sqref="G467:I467">
    <cfRule type="containsText" dxfId="51" priority="329" operator="containsText" text="Salah isi">
      <formula>NOT(ISERROR(SEARCH("Salah isi",G467)))</formula>
    </cfRule>
  </conditionalFormatting>
  <conditionalFormatting sqref="G473:I473">
    <cfRule type="containsText" dxfId="50" priority="328" operator="containsText" text="Salah isi">
      <formula>NOT(ISERROR(SEARCH("Salah isi",G473)))</formula>
    </cfRule>
  </conditionalFormatting>
  <conditionalFormatting sqref="G481:I481">
    <cfRule type="containsText" dxfId="49" priority="327" operator="containsText" text="Salah isi">
      <formula>NOT(ISERROR(SEARCH("Salah isi",G481)))</formula>
    </cfRule>
  </conditionalFormatting>
  <conditionalFormatting sqref="G487:I487">
    <cfRule type="containsText" dxfId="48" priority="324" operator="containsText" text="Salah isi">
      <formula>NOT(ISERROR(SEARCH("Salah isi",G487)))</formula>
    </cfRule>
  </conditionalFormatting>
  <conditionalFormatting sqref="G493:I493">
    <cfRule type="containsText" dxfId="47" priority="29" operator="containsText" text="Salah isi">
      <formula>NOT(ISERROR(SEARCH("Salah isi",G493)))</formula>
    </cfRule>
  </conditionalFormatting>
  <conditionalFormatting sqref="G499:I499">
    <cfRule type="containsText" dxfId="46" priority="325" operator="containsText" text="Salah isi">
      <formula>NOT(ISERROR(SEARCH("Salah isi",G499)))</formula>
    </cfRule>
  </conditionalFormatting>
  <conditionalFormatting sqref="G505:I505">
    <cfRule type="containsText" dxfId="45" priority="326" operator="containsText" text="Salah isi">
      <formula>NOT(ISERROR(SEARCH("Salah isi",G505)))</formula>
    </cfRule>
  </conditionalFormatting>
  <conditionalFormatting sqref="G520:I520">
    <cfRule type="containsText" dxfId="44" priority="323" operator="containsText" text="Salah isi">
      <formula>NOT(ISERROR(SEARCH("Salah isi",G520)))</formula>
    </cfRule>
  </conditionalFormatting>
  <conditionalFormatting sqref="G528:I528">
    <cfRule type="containsText" dxfId="43" priority="322" operator="containsText" text="Salah isi">
      <formula>NOT(ISERROR(SEARCH("Salah isi",G528)))</formula>
    </cfRule>
  </conditionalFormatting>
  <conditionalFormatting sqref="G534:I534">
    <cfRule type="containsText" dxfId="42" priority="321" operator="containsText" text="Salah isi">
      <formula>NOT(ISERROR(SEARCH("Salah isi",G534)))</formula>
    </cfRule>
  </conditionalFormatting>
  <conditionalFormatting sqref="G540:I540">
    <cfRule type="containsText" dxfId="41" priority="320" operator="containsText" text="Salah isi">
      <formula>NOT(ISERROR(SEARCH("Salah isi",G540)))</formula>
    </cfRule>
  </conditionalFormatting>
  <conditionalFormatting sqref="G568:I568">
    <cfRule type="containsText" dxfId="40" priority="319" operator="containsText" text="Salah isi">
      <formula>NOT(ISERROR(SEARCH("Salah isi",G568)))</formula>
    </cfRule>
  </conditionalFormatting>
  <conditionalFormatting sqref="G576:I576">
    <cfRule type="containsText" dxfId="39" priority="358" operator="containsText" text="Salah isi">
      <formula>NOT(ISERROR(SEARCH("Salah isi",G576)))</formula>
    </cfRule>
  </conditionalFormatting>
  <conditionalFormatting sqref="G606:I606">
    <cfRule type="containsText" dxfId="38" priority="318" operator="containsText" text="Salah isi">
      <formula>NOT(ISERROR(SEARCH("Salah isi",G606)))</formula>
    </cfRule>
  </conditionalFormatting>
  <conditionalFormatting sqref="G615:I615">
    <cfRule type="containsText" dxfId="37" priority="317" operator="containsText" text="Salah isi">
      <formula>NOT(ISERROR(SEARCH("Salah isi",G615)))</formula>
    </cfRule>
  </conditionalFormatting>
  <conditionalFormatting sqref="G637:I637">
    <cfRule type="containsText" dxfId="36" priority="316" operator="containsText" text="Salah isi">
      <formula>NOT(ISERROR(SEARCH("Salah isi",G637)))</formula>
    </cfRule>
  </conditionalFormatting>
  <conditionalFormatting sqref="G652:I652">
    <cfRule type="containsText" dxfId="35" priority="315" operator="containsText" text="Salah isi">
      <formula>NOT(ISERROR(SEARCH("Salah isi",G652)))</formula>
    </cfRule>
  </conditionalFormatting>
  <conditionalFormatting sqref="G749:I749">
    <cfRule type="containsText" dxfId="34" priority="314" operator="containsText" text="Salah isi">
      <formula>NOT(ISERROR(SEARCH("Salah isi",G749)))</formula>
    </cfRule>
  </conditionalFormatting>
  <conditionalFormatting sqref="G942:I942">
    <cfRule type="containsText" dxfId="33" priority="313" operator="containsText" text="Salah isi">
      <formula>NOT(ISERROR(SEARCH("Salah isi",G942)))</formula>
    </cfRule>
  </conditionalFormatting>
  <conditionalFormatting sqref="G950:I950">
    <cfRule type="containsText" dxfId="32" priority="312" operator="containsText" text="Salah isi">
      <formula>NOT(ISERROR(SEARCH("Salah isi",G950)))</formula>
    </cfRule>
  </conditionalFormatting>
  <conditionalFormatting sqref="G958:I958">
    <cfRule type="containsText" dxfId="31" priority="311" operator="containsText" text="Salah isi">
      <formula>NOT(ISERROR(SEARCH("Salah isi",G958)))</formula>
    </cfRule>
  </conditionalFormatting>
  <conditionalFormatting sqref="G966:I966">
    <cfRule type="containsText" dxfId="30" priority="310" operator="containsText" text="Salah isi">
      <formula>NOT(ISERROR(SEARCH("Salah isi",G966)))</formula>
    </cfRule>
  </conditionalFormatting>
  <conditionalFormatting sqref="I26:I31">
    <cfRule type="containsText" dxfId="29" priority="5" operator="containsText" text="Salah isi">
      <formula>NOT(ISERROR(SEARCH("Salah isi",I26)))</formula>
    </cfRule>
  </conditionalFormatting>
  <conditionalFormatting sqref="I34:I37">
    <cfRule type="containsText" dxfId="28" priority="4" operator="containsText" text="Salah isi">
      <formula>NOT(ISERROR(SEARCH("Salah isi",I34)))</formula>
    </cfRule>
  </conditionalFormatting>
  <conditionalFormatting sqref="J105">
    <cfRule type="cellIs" dxfId="27" priority="357" operator="equal">
      <formula>"Tidak dinilai"</formula>
    </cfRule>
  </conditionalFormatting>
  <conditionalFormatting sqref="H56:H62">
    <cfRule type="containsText" dxfId="26" priority="2" operator="containsText" text="Salah isi">
      <formula>NOT(ISERROR(SEARCH("Salah isi",H56)))</formula>
    </cfRule>
  </conditionalFormatting>
  <conditionalFormatting sqref="I56:I62">
    <cfRule type="containsText" dxfId="25" priority="1" operator="containsText" text="Salah isi">
      <formula>NOT(ISERROR(SEARCH("Salah isi",I56)))</formula>
    </cfRule>
  </conditionalFormatting>
  <dataValidations count="4">
    <dataValidation type="list" allowBlank="1" showInputMessage="1" showErrorMessage="1" sqref="F147" xr:uid="{00000000-0002-0000-0100-000000000000}">
      <formula1>$F$148:$F$149</formula1>
    </dataValidation>
    <dataValidation type="list" allowBlank="1" showInputMessage="1" showErrorMessage="1" sqref="F87 F195 F208 F215 F253 F923 F928 F933" xr:uid="{00000000-0002-0000-0100-000001000000}">
      <formula1>#REF!</formula1>
    </dataValidation>
    <dataValidation allowBlank="1" showInputMessage="1" showErrorMessage="1" sqref="F201 F346" xr:uid="{00000000-0002-0000-0100-000002000000}"/>
    <dataValidation type="list" allowBlank="1" showInputMessage="1" showErrorMessage="1" sqref="F225" xr:uid="{00000000-0002-0000-0100-000003000000}">
      <formula1>$F$226:$F$227</formula1>
    </dataValidation>
  </dataValidations>
  <pageMargins left="0.7" right="0.7" top="0.75" bottom="0.75" header="0.3" footer="0.3"/>
  <pageSetup paperSize="9"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96"/>
  <sheetViews>
    <sheetView topLeftCell="B1" workbookViewId="0">
      <pane xSplit="1" ySplit="12" topLeftCell="C13" activePane="bottomRight" state="frozen"/>
      <selection pane="topRight"/>
      <selection pane="bottomLeft"/>
      <selection pane="bottomRight" activeCell="E26" sqref="E26"/>
    </sheetView>
  </sheetViews>
  <sheetFormatPr defaultColWidth="8.42578125" defaultRowHeight="15.75"/>
  <cols>
    <col min="1" max="1" width="5.85546875" style="3" hidden="1" customWidth="1"/>
    <col min="2" max="2" width="5.85546875" style="4" customWidth="1"/>
    <col min="3" max="3" width="28" style="5" customWidth="1"/>
    <col min="4" max="4" width="37" style="5" customWidth="1"/>
    <col min="5" max="5" width="8.42578125" style="6" customWidth="1"/>
    <col min="6" max="6" width="9" style="3" customWidth="1"/>
    <col min="7" max="8" width="8.85546875" style="3" customWidth="1"/>
    <col min="9" max="11" width="8.42578125" style="5" customWidth="1"/>
    <col min="12" max="12" width="8.42578125" style="3" customWidth="1"/>
    <col min="13" max="13" width="8.42578125" style="3"/>
    <col min="14" max="14" width="8.42578125" style="3" customWidth="1"/>
    <col min="15" max="16384" width="8.42578125" style="3"/>
  </cols>
  <sheetData>
    <row r="1" spans="1:14" customFormat="1" ht="15">
      <c r="B1" s="464" t="s">
        <v>599</v>
      </c>
      <c r="C1" s="464"/>
      <c r="D1" s="464"/>
      <c r="E1" s="464"/>
      <c r="G1" s="464" t="s">
        <v>600</v>
      </c>
      <c r="H1" s="464"/>
      <c r="I1" s="464"/>
      <c r="J1" s="464"/>
      <c r="K1" s="464"/>
      <c r="L1" s="39"/>
    </row>
    <row r="2" spans="1:14" customFormat="1" ht="15">
      <c r="B2" s="464" t="s">
        <v>0</v>
      </c>
      <c r="C2" s="464"/>
      <c r="D2" s="464"/>
      <c r="E2" s="464"/>
      <c r="G2" s="464" t="s">
        <v>0</v>
      </c>
      <c r="H2" s="464"/>
      <c r="I2" s="464"/>
      <c r="J2" s="464"/>
      <c r="K2" s="464"/>
      <c r="L2" s="39"/>
    </row>
    <row r="3" spans="1:14" customFormat="1" ht="15">
      <c r="B3" s="464" t="str">
        <f>Menu!A5</f>
        <v>PROGRAM SARJANA</v>
      </c>
      <c r="C3" s="464"/>
      <c r="D3" s="464"/>
      <c r="E3" s="464"/>
      <c r="G3" s="464" t="str">
        <f>Menu!A5</f>
        <v>PROGRAM SARJANA</v>
      </c>
      <c r="H3" s="464"/>
      <c r="I3" s="464"/>
      <c r="J3" s="464"/>
      <c r="K3" s="464"/>
      <c r="L3" s="39"/>
    </row>
    <row r="4" spans="1:14" customFormat="1" ht="15">
      <c r="B4" s="7"/>
      <c r="C4" s="7"/>
      <c r="D4" s="7"/>
      <c r="E4" s="7"/>
      <c r="I4" s="10"/>
      <c r="J4" s="10"/>
      <c r="K4" s="10"/>
      <c r="L4" s="10"/>
      <c r="M4" s="10"/>
    </row>
    <row r="5" spans="1:14" customFormat="1" ht="15">
      <c r="B5" s="457" t="s">
        <v>601</v>
      </c>
      <c r="C5" s="457"/>
      <c r="D5" s="457"/>
      <c r="E5" s="457"/>
      <c r="G5" s="462" t="s">
        <v>602</v>
      </c>
      <c r="H5" s="462"/>
      <c r="I5" s="462"/>
      <c r="J5" s="8"/>
      <c r="K5" s="463">
        <f>SUM(H13:H87)</f>
        <v>178.83145236584613</v>
      </c>
      <c r="L5" s="463"/>
      <c r="M5" s="10"/>
      <c r="N5" s="10"/>
    </row>
    <row r="6" spans="1:14" customFormat="1" ht="15">
      <c r="B6" s="9"/>
      <c r="C6" s="10"/>
      <c r="D6" s="11"/>
      <c r="E6" s="12"/>
      <c r="G6" s="462"/>
      <c r="H6" s="462"/>
      <c r="I6" s="462"/>
      <c r="J6" s="8"/>
      <c r="K6" s="463"/>
      <c r="L6" s="463"/>
      <c r="M6" s="10"/>
      <c r="N6" s="10"/>
    </row>
    <row r="7" spans="1:14" customFormat="1" ht="15">
      <c r="B7" s="13" t="s">
        <v>7</v>
      </c>
      <c r="C7" s="10"/>
      <c r="D7" s="14" t="str">
        <f>Menu!H11</f>
        <v xml:space="preserve"> </v>
      </c>
      <c r="E7" s="14"/>
      <c r="M7" s="10"/>
      <c r="N7" s="10"/>
    </row>
    <row r="8" spans="1:14" customFormat="1" ht="15">
      <c r="B8" s="13" t="s">
        <v>603</v>
      </c>
      <c r="C8" s="10"/>
      <c r="D8" s="14" t="str">
        <f>Menu!P20</f>
        <v xml:space="preserve"> </v>
      </c>
      <c r="E8" s="14"/>
      <c r="G8" t="s">
        <v>604</v>
      </c>
      <c r="H8" s="15"/>
      <c r="K8" s="458" t="str">
        <f>IF(AND(J24="TERPENUHI",J29="TERPENUHI",J53="TERPENUHI"),"TERPENUHI","TIDAK TERPENUHI")</f>
        <v>TIDAK TERPENUHI</v>
      </c>
      <c r="L8" s="458"/>
      <c r="M8" s="458"/>
      <c r="N8" s="458"/>
    </row>
    <row r="9" spans="1:14" customFormat="1" ht="15">
      <c r="B9" s="13" t="s">
        <v>605</v>
      </c>
      <c r="C9" s="10"/>
      <c r="D9" s="16">
        <f>Menu!H12</f>
        <v>0</v>
      </c>
      <c r="E9" s="14"/>
      <c r="G9" t="s">
        <v>606</v>
      </c>
      <c r="H9" s="15"/>
      <c r="K9" s="458" t="str">
        <f>IF(AND(L30="TERPENUHI",L32="TERPENUHI",L76="TERPENUHI",L77="TERPENUHI"),"TERPENUHI","TIDAK TERPENUHI")</f>
        <v>TIDAK TERPENUHI</v>
      </c>
      <c r="L9" s="458"/>
      <c r="M9" s="458"/>
      <c r="N9" s="458"/>
    </row>
    <row r="10" spans="1:14" customFormat="1" ht="15">
      <c r="B10" s="13" t="s">
        <v>607</v>
      </c>
      <c r="C10" s="10"/>
      <c r="D10" s="17" t="str">
        <f>Menu!P24</f>
        <v xml:space="preserve"> </v>
      </c>
      <c r="E10" s="14"/>
      <c r="G10" t="s">
        <v>608</v>
      </c>
      <c r="K10" s="458" t="str">
        <f>IF(AND(N30="TERPENUHI",N32="TERPENUHI",N76="TERPENUHI",N77="TERPENUHI"),"TERPENUHI","TIDAK TERPENUHI")</f>
        <v>TIDAK TERPENUHI</v>
      </c>
      <c r="L10" s="458"/>
      <c r="M10" s="458"/>
      <c r="N10" s="458"/>
    </row>
    <row r="11" spans="1:14" customFormat="1" ht="15">
      <c r="B11" s="18"/>
      <c r="C11" s="11"/>
      <c r="D11" s="11"/>
      <c r="E11" s="12"/>
    </row>
    <row r="12" spans="1:14" s="1" customFormat="1" ht="38.25">
      <c r="A12" s="19" t="s">
        <v>609</v>
      </c>
      <c r="B12" s="19" t="s">
        <v>609</v>
      </c>
      <c r="C12" s="19" t="s">
        <v>610</v>
      </c>
      <c r="D12" s="19" t="s">
        <v>26</v>
      </c>
      <c r="E12" s="19" t="s">
        <v>25</v>
      </c>
      <c r="G12" s="19" t="s">
        <v>611</v>
      </c>
      <c r="H12" s="19" t="s">
        <v>612</v>
      </c>
      <c r="I12" s="459" t="s">
        <v>613</v>
      </c>
      <c r="J12" s="460"/>
      <c r="K12" s="459" t="s">
        <v>614</v>
      </c>
      <c r="L12" s="460"/>
      <c r="M12" s="461" t="s">
        <v>615</v>
      </c>
      <c r="N12" s="461"/>
    </row>
    <row r="13" spans="1:14" s="2" customFormat="1" ht="60">
      <c r="A13" s="20">
        <v>1</v>
      </c>
      <c r="B13" s="20" t="str">
        <f>'Kertas Kerja'!A8</f>
        <v>A</v>
      </c>
      <c r="C13" s="21" t="s">
        <v>616</v>
      </c>
      <c r="D13" s="22" t="str">
        <f>'Kertas Kerja'!K8</f>
        <v xml:space="preserve"> </v>
      </c>
      <c r="E13" s="23">
        <f>'Kertas Kerja'!F17</f>
        <v>10</v>
      </c>
      <c r="F13" s="24"/>
      <c r="G13" s="25">
        <v>1</v>
      </c>
      <c r="H13" s="25">
        <f>E13*G13</f>
        <v>10</v>
      </c>
      <c r="I13" s="31"/>
      <c r="J13" s="31"/>
      <c r="K13" s="31"/>
      <c r="L13" s="31"/>
      <c r="M13" s="31"/>
      <c r="N13" s="31"/>
    </row>
    <row r="14" spans="1:14" s="2" customFormat="1" ht="132">
      <c r="A14" s="20">
        <v>2</v>
      </c>
      <c r="B14" s="26">
        <f>'Kertas Kerja'!A19</f>
        <v>1</v>
      </c>
      <c r="C14" s="21" t="s">
        <v>617</v>
      </c>
      <c r="D14" s="27" t="str">
        <f>'Kertas Kerja'!K19</f>
        <v xml:space="preserve"> </v>
      </c>
      <c r="E14" s="28">
        <f>'Kertas Kerja'!F24</f>
        <v>3</v>
      </c>
      <c r="F14" s="24"/>
      <c r="G14" s="25">
        <v>1</v>
      </c>
      <c r="H14" s="25">
        <f t="shared" ref="H14:H77" si="0">E14*G14</f>
        <v>3</v>
      </c>
      <c r="I14" s="31"/>
      <c r="J14" s="31"/>
      <c r="K14" s="31"/>
      <c r="L14" s="31"/>
      <c r="M14" s="31"/>
      <c r="N14" s="31"/>
    </row>
    <row r="15" spans="1:14" s="2" customFormat="1" ht="108">
      <c r="A15" s="20">
        <v>3</v>
      </c>
      <c r="B15" s="26">
        <f>'Kertas Kerja'!A26</f>
        <v>2</v>
      </c>
      <c r="C15" s="29" t="s">
        <v>618</v>
      </c>
      <c r="D15" s="27" t="str">
        <f>'Kertas Kerja'!K26</f>
        <v xml:space="preserve"> </v>
      </c>
      <c r="E15" s="28">
        <f>'Kertas Kerja'!F32</f>
        <v>4.5</v>
      </c>
      <c r="F15" s="24"/>
      <c r="G15" s="25">
        <v>0.51111111111111096</v>
      </c>
      <c r="H15" s="25">
        <f t="shared" si="0"/>
        <v>2.2999999999999994</v>
      </c>
      <c r="I15" s="31"/>
      <c r="J15" s="31"/>
      <c r="K15" s="31"/>
      <c r="L15" s="31"/>
      <c r="M15" s="31"/>
      <c r="N15" s="31"/>
    </row>
    <row r="16" spans="1:14" s="2" customFormat="1" ht="36">
      <c r="A16" s="20">
        <v>4</v>
      </c>
      <c r="B16" s="26">
        <f>'Kertas Kerja'!A34</f>
        <v>3</v>
      </c>
      <c r="C16" s="29" t="s">
        <v>28</v>
      </c>
      <c r="D16" s="27" t="str">
        <f>'Kertas Kerja'!K34</f>
        <v xml:space="preserve"> </v>
      </c>
      <c r="E16" s="28">
        <f>'Kertas Kerja'!F38</f>
        <v>3.5</v>
      </c>
      <c r="F16" s="24"/>
      <c r="G16" s="25">
        <v>1.0222222222222199</v>
      </c>
      <c r="H16" s="25">
        <f t="shared" si="0"/>
        <v>3.5777777777777695</v>
      </c>
      <c r="I16" s="31"/>
      <c r="J16" s="31"/>
      <c r="K16" s="31"/>
      <c r="L16" s="31"/>
      <c r="M16" s="31"/>
      <c r="N16" s="31"/>
    </row>
    <row r="17" spans="1:14" s="2" customFormat="1" ht="72">
      <c r="A17" s="20">
        <v>5</v>
      </c>
      <c r="B17" s="26">
        <f>'Kertas Kerja'!A40</f>
        <v>4</v>
      </c>
      <c r="C17" s="30" t="s">
        <v>29</v>
      </c>
      <c r="D17" s="27" t="str">
        <f>'Kertas Kerja'!K40</f>
        <v xml:space="preserve"> </v>
      </c>
      <c r="E17" s="28">
        <f>'Kertas Kerja'!F54</f>
        <v>8</v>
      </c>
      <c r="F17" s="24"/>
      <c r="G17" s="25">
        <v>1.5333333333333301</v>
      </c>
      <c r="H17" s="25">
        <f t="shared" si="0"/>
        <v>12.266666666666641</v>
      </c>
      <c r="I17" s="31"/>
      <c r="J17" s="31"/>
      <c r="K17" s="31"/>
      <c r="L17" s="31"/>
      <c r="M17" s="31"/>
      <c r="N17" s="31"/>
    </row>
    <row r="18" spans="1:14" s="2" customFormat="1" ht="156">
      <c r="A18" s="20">
        <v>6</v>
      </c>
      <c r="B18" s="26">
        <f>'Kertas Kerja'!A56</f>
        <v>5</v>
      </c>
      <c r="C18" s="30" t="s">
        <v>619</v>
      </c>
      <c r="D18" s="27" t="str">
        <f>'Kertas Kerja'!K56</f>
        <v xml:space="preserve"> </v>
      </c>
      <c r="E18" s="28">
        <v>4</v>
      </c>
      <c r="F18" s="24"/>
      <c r="G18" s="25"/>
      <c r="H18" s="25">
        <f t="shared" si="0"/>
        <v>0</v>
      </c>
      <c r="I18" s="31"/>
      <c r="J18" s="31"/>
      <c r="K18" s="31"/>
      <c r="L18" s="31"/>
      <c r="M18" s="31"/>
      <c r="N18" s="31"/>
    </row>
    <row r="19" spans="1:14" s="2" customFormat="1" ht="144">
      <c r="A19" s="20">
        <v>7</v>
      </c>
      <c r="B19" s="26">
        <f>'Kertas Kerja'!A65</f>
        <v>7</v>
      </c>
      <c r="C19" s="30" t="s">
        <v>620</v>
      </c>
      <c r="D19" s="27" t="str">
        <f>'Kertas Kerja'!K65</f>
        <v xml:space="preserve"> </v>
      </c>
      <c r="E19" s="28">
        <f>'Kertas Kerja'!F77</f>
        <v>4</v>
      </c>
      <c r="F19" s="24"/>
      <c r="G19" s="25">
        <v>0.34074074074074101</v>
      </c>
      <c r="H19" s="25">
        <f t="shared" si="0"/>
        <v>1.362962962962964</v>
      </c>
      <c r="I19" s="31"/>
      <c r="J19" s="31"/>
      <c r="K19" s="31"/>
      <c r="L19" s="31"/>
      <c r="M19" s="31"/>
      <c r="N19" s="31"/>
    </row>
    <row r="20" spans="1:14" s="2" customFormat="1" ht="228">
      <c r="A20" s="20">
        <v>8</v>
      </c>
      <c r="B20" s="26">
        <f>'Kertas Kerja'!A79</f>
        <v>8</v>
      </c>
      <c r="C20" s="30" t="s">
        <v>621</v>
      </c>
      <c r="D20" s="27" t="str">
        <f>'Kertas Kerja'!K79</f>
        <v xml:space="preserve"> </v>
      </c>
      <c r="E20" s="28">
        <f>'Kertas Kerja'!F85</f>
        <v>4</v>
      </c>
      <c r="F20" s="24"/>
      <c r="G20" s="25">
        <v>0.68148148148148202</v>
      </c>
      <c r="H20" s="25">
        <f t="shared" si="0"/>
        <v>2.7259259259259281</v>
      </c>
      <c r="I20" s="33"/>
      <c r="J20" s="33"/>
      <c r="K20" s="33"/>
      <c r="L20" s="33"/>
      <c r="M20" s="33"/>
      <c r="N20" s="33"/>
    </row>
    <row r="21" spans="1:14" s="2" customFormat="1" ht="144">
      <c r="A21" s="20">
        <v>9</v>
      </c>
      <c r="B21" s="26">
        <f>'Kertas Kerja'!A87</f>
        <v>9</v>
      </c>
      <c r="C21" s="30" t="s">
        <v>622</v>
      </c>
      <c r="D21" s="31">
        <f>'Kertas Kerja'!K87</f>
        <v>0</v>
      </c>
      <c r="E21" s="25">
        <f>'Kertas Kerja'!F112</f>
        <v>3.8333333333333335</v>
      </c>
      <c r="F21" s="24"/>
      <c r="G21" s="25">
        <v>0.34074074074074101</v>
      </c>
      <c r="H21" s="25">
        <f t="shared" si="0"/>
        <v>1.306172839506174</v>
      </c>
      <c r="I21" s="33"/>
      <c r="J21" s="33"/>
      <c r="K21" s="33"/>
      <c r="L21" s="33"/>
      <c r="M21" s="33"/>
      <c r="N21" s="33"/>
    </row>
    <row r="22" spans="1:14" s="2" customFormat="1" ht="60">
      <c r="A22" s="20">
        <v>10</v>
      </c>
      <c r="B22" s="26">
        <f>'Kertas Kerja'!A114</f>
        <v>10</v>
      </c>
      <c r="C22" s="30" t="s">
        <v>623</v>
      </c>
      <c r="D22" s="31">
        <f>'Kertas Kerja'!K114</f>
        <v>0</v>
      </c>
      <c r="E22" s="25">
        <f>'Kertas Kerja'!F120</f>
        <v>4</v>
      </c>
      <c r="F22" s="24"/>
      <c r="G22" s="25">
        <v>0.68148148148148202</v>
      </c>
      <c r="H22" s="25">
        <f t="shared" si="0"/>
        <v>2.7259259259259281</v>
      </c>
      <c r="I22" s="33"/>
      <c r="J22" s="33"/>
      <c r="K22" s="33"/>
      <c r="L22" s="33"/>
      <c r="M22" s="33"/>
      <c r="N22" s="33"/>
    </row>
    <row r="23" spans="1:14" s="2" customFormat="1" ht="216">
      <c r="A23" s="20">
        <v>11</v>
      </c>
      <c r="B23" s="26">
        <f>'Kertas Kerja'!A122</f>
        <v>11</v>
      </c>
      <c r="C23" s="30" t="s">
        <v>624</v>
      </c>
      <c r="D23" s="31">
        <f>'Kertas Kerja'!K122</f>
        <v>0</v>
      </c>
      <c r="E23" s="25">
        <f>'Kertas Kerja'!F128</f>
        <v>4</v>
      </c>
      <c r="F23" s="24"/>
      <c r="G23" s="25">
        <v>1.0222222222222199</v>
      </c>
      <c r="H23" s="25">
        <f t="shared" si="0"/>
        <v>4.0888888888888797</v>
      </c>
      <c r="I23" s="33"/>
      <c r="J23" s="33"/>
      <c r="K23" s="33"/>
      <c r="L23" s="33"/>
      <c r="M23" s="33"/>
      <c r="N23" s="33"/>
    </row>
    <row r="24" spans="1:14" s="2" customFormat="1" ht="216">
      <c r="A24" s="20">
        <v>12</v>
      </c>
      <c r="B24" s="26">
        <f>'Kertas Kerja'!A130</f>
        <v>12</v>
      </c>
      <c r="C24" s="30" t="s">
        <v>625</v>
      </c>
      <c r="D24" s="31">
        <f>'Kertas Kerja'!K130</f>
        <v>0</v>
      </c>
      <c r="E24" s="28">
        <v>0</v>
      </c>
      <c r="F24" s="24"/>
      <c r="G24" s="25">
        <v>1.36296296296296</v>
      </c>
      <c r="H24" s="25">
        <f t="shared" si="0"/>
        <v>0</v>
      </c>
      <c r="I24" s="33" t="s">
        <v>626</v>
      </c>
      <c r="J24" s="33" t="str">
        <f>IF(E24&gt;=2,"TERPENUHI","TIDAK TERPENUHI")</f>
        <v>TIDAK TERPENUHI</v>
      </c>
      <c r="K24" s="33"/>
      <c r="L24" s="33"/>
      <c r="M24" s="33"/>
      <c r="N24" s="33"/>
    </row>
    <row r="25" spans="1:14" s="2" customFormat="1" ht="336">
      <c r="A25" s="20">
        <v>13</v>
      </c>
      <c r="B25" s="26">
        <f>'Kertas Kerja'!A138</f>
        <v>13</v>
      </c>
      <c r="C25" s="30" t="s">
        <v>627</v>
      </c>
      <c r="D25" s="31">
        <f>'Kertas Kerja'!K138</f>
        <v>0</v>
      </c>
      <c r="E25" s="28">
        <f>'Kertas Kerja'!F144</f>
        <v>4</v>
      </c>
      <c r="F25" s="24"/>
      <c r="G25" s="25">
        <v>1.36296296296296</v>
      </c>
      <c r="H25" s="25">
        <f t="shared" si="0"/>
        <v>5.4518518518518402</v>
      </c>
      <c r="I25" s="33"/>
      <c r="J25" s="33"/>
      <c r="K25" s="33"/>
      <c r="L25" s="33"/>
      <c r="M25" s="33"/>
      <c r="N25" s="33"/>
    </row>
    <row r="26" spans="1:14" s="2" customFormat="1" ht="84">
      <c r="A26" s="20">
        <v>14</v>
      </c>
      <c r="B26" s="26">
        <f>'Kertas Kerja'!A146</f>
        <v>14</v>
      </c>
      <c r="C26" s="30" t="s">
        <v>628</v>
      </c>
      <c r="D26" s="31">
        <f>'Kertas Kerja'!K146</f>
        <v>0</v>
      </c>
      <c r="E26" s="28">
        <f>'Kertas Kerja'!F164</f>
        <v>0.86706586826347309</v>
      </c>
      <c r="F26" s="24"/>
      <c r="G26" s="25">
        <v>4.5999999999999996</v>
      </c>
      <c r="H26" s="25">
        <f t="shared" si="0"/>
        <v>3.9885029940119758</v>
      </c>
      <c r="I26" s="33"/>
      <c r="J26" s="33"/>
      <c r="K26" s="33"/>
      <c r="L26" s="33"/>
      <c r="M26" s="33"/>
      <c r="N26" s="33"/>
    </row>
    <row r="27" spans="1:14" s="2" customFormat="1" ht="72">
      <c r="A27" s="20">
        <v>15</v>
      </c>
      <c r="B27" s="26">
        <f>'Kertas Kerja'!A166</f>
        <v>15</v>
      </c>
      <c r="C27" s="30" t="s">
        <v>629</v>
      </c>
      <c r="D27" s="31">
        <f>'Kertas Kerja'!K166</f>
        <v>0</v>
      </c>
      <c r="E27" s="28">
        <f>'Kertas Kerja'!F179</f>
        <v>0</v>
      </c>
      <c r="F27" s="24"/>
      <c r="G27" s="25">
        <v>3.06666666666667</v>
      </c>
      <c r="H27" s="25">
        <f t="shared" si="0"/>
        <v>0</v>
      </c>
      <c r="I27" s="33"/>
      <c r="J27" s="33"/>
      <c r="K27" s="33"/>
      <c r="L27" s="33"/>
      <c r="M27" s="33"/>
      <c r="N27" s="33"/>
    </row>
    <row r="28" spans="1:14" s="2" customFormat="1" ht="132">
      <c r="A28" s="20">
        <v>16</v>
      </c>
      <c r="B28" s="26">
        <f>'Kertas Kerja'!A181</f>
        <v>16</v>
      </c>
      <c r="C28" s="30" t="s">
        <v>630</v>
      </c>
      <c r="D28" s="31">
        <f>'Kertas Kerja'!K181</f>
        <v>0</v>
      </c>
      <c r="E28" s="28">
        <f>'Kertas Kerja'!F193</f>
        <v>0</v>
      </c>
      <c r="F28" s="24"/>
      <c r="G28" s="25">
        <v>1.5333333333333301</v>
      </c>
      <c r="H28" s="25">
        <f t="shared" si="0"/>
        <v>0</v>
      </c>
      <c r="I28" s="33"/>
      <c r="J28" s="33"/>
      <c r="K28" s="33"/>
      <c r="L28" s="33"/>
      <c r="M28" s="33"/>
      <c r="N28" s="33"/>
    </row>
    <row r="29" spans="1:14" s="2" customFormat="1" ht="60">
      <c r="A29" s="20">
        <v>17</v>
      </c>
      <c r="B29" s="26">
        <f>'Kertas Kerja'!A195</f>
        <v>17</v>
      </c>
      <c r="C29" s="30" t="s">
        <v>631</v>
      </c>
      <c r="D29" s="31">
        <f>'Kertas Kerja'!K195</f>
        <v>0</v>
      </c>
      <c r="E29" s="28">
        <f>'Kertas Kerja'!F199</f>
        <v>4</v>
      </c>
      <c r="F29" s="24"/>
      <c r="G29" s="25">
        <v>0.743434343434343</v>
      </c>
      <c r="H29" s="25">
        <f t="shared" si="0"/>
        <v>2.973737373737372</v>
      </c>
      <c r="I29" s="33" t="s">
        <v>626</v>
      </c>
      <c r="J29" s="33" t="str">
        <f>IF(E29&gt;=2,"TERPENUHI","TIDAK TERPENUHI")</f>
        <v>TERPENUHI</v>
      </c>
      <c r="K29" s="33"/>
      <c r="L29" s="33"/>
      <c r="M29" s="33"/>
      <c r="N29" s="33"/>
    </row>
    <row r="30" spans="1:14" s="2" customFormat="1" ht="24">
      <c r="A30" s="20">
        <v>18</v>
      </c>
      <c r="B30" s="26">
        <f>'Kertas Kerja'!A201</f>
        <v>18</v>
      </c>
      <c r="C30" s="30" t="s">
        <v>144</v>
      </c>
      <c r="D30" s="31">
        <f>'Kertas Kerja'!K201</f>
        <v>0</v>
      </c>
      <c r="E30" s="28">
        <f>'Kertas Kerja'!F206</f>
        <v>4</v>
      </c>
      <c r="F30" s="24"/>
      <c r="G30" s="25">
        <v>0.99124579124579104</v>
      </c>
      <c r="H30" s="25">
        <f t="shared" si="0"/>
        <v>3.9649831649831642</v>
      </c>
      <c r="I30" s="33"/>
      <c r="J30" s="33"/>
      <c r="K30" s="33" t="s">
        <v>632</v>
      </c>
      <c r="L30" s="33" t="str">
        <f>IF(E30&gt;=3.5,"TERPENUHI","TIDAK TERPENUHI")</f>
        <v>TERPENUHI</v>
      </c>
      <c r="M30" s="33" t="s">
        <v>633</v>
      </c>
      <c r="N30" s="33" t="str">
        <f>IF(E30&gt;=3,"TERPENUHI","TIDAK TERPENUHI")</f>
        <v>TERPENUHI</v>
      </c>
    </row>
    <row r="31" spans="1:14" s="2" customFormat="1" ht="12" hidden="1">
      <c r="A31" s="20">
        <v>19</v>
      </c>
      <c r="B31" s="26">
        <f>'Kertas Kerja'!A208</f>
        <v>0</v>
      </c>
      <c r="C31" s="32"/>
      <c r="D31" s="31">
        <f>'Kertas Kerja'!K208</f>
        <v>0</v>
      </c>
      <c r="E31" s="28">
        <f>'Kertas Kerja'!F213</f>
        <v>0</v>
      </c>
      <c r="F31" s="24"/>
      <c r="G31" s="25"/>
      <c r="H31" s="25">
        <f t="shared" si="0"/>
        <v>0</v>
      </c>
      <c r="I31" s="33"/>
      <c r="J31" s="33"/>
      <c r="K31" s="33"/>
      <c r="L31" s="33"/>
      <c r="M31" s="33"/>
      <c r="N31" s="33"/>
    </row>
    <row r="32" spans="1:14" s="2" customFormat="1" ht="36">
      <c r="A32" s="20">
        <v>20</v>
      </c>
      <c r="B32" s="26">
        <f>'Kertas Kerja'!A215</f>
        <v>19</v>
      </c>
      <c r="C32" s="30" t="s">
        <v>147</v>
      </c>
      <c r="D32" s="31">
        <f>'Kertas Kerja'!K215</f>
        <v>0</v>
      </c>
      <c r="E32" s="28">
        <f>'Kertas Kerja'!F222</f>
        <v>2</v>
      </c>
      <c r="F32" s="24"/>
      <c r="G32" s="25">
        <v>0.49562289562289602</v>
      </c>
      <c r="H32" s="25">
        <f t="shared" si="0"/>
        <v>0.99124579124579204</v>
      </c>
      <c r="I32" s="33"/>
      <c r="J32" s="33"/>
      <c r="K32" s="33" t="s">
        <v>632</v>
      </c>
      <c r="L32" s="33" t="str">
        <f>IF(E32&gt;=3.5,"TERPENUHI","TIDAK TERPENUHI")</f>
        <v>TIDAK TERPENUHI</v>
      </c>
      <c r="M32" s="33" t="s">
        <v>633</v>
      </c>
      <c r="N32" s="33" t="str">
        <f>IF(E32&gt;=3,"TERPENUHI","TIDAK TERPENUHI")</f>
        <v>TIDAK TERPENUHI</v>
      </c>
    </row>
    <row r="33" spans="1:14" s="2" customFormat="1" ht="60">
      <c r="A33" s="20">
        <v>21</v>
      </c>
      <c r="B33" s="26">
        <f>'Kertas Kerja'!A224</f>
        <v>20</v>
      </c>
      <c r="C33" s="30" t="s">
        <v>634</v>
      </c>
      <c r="D33" s="31">
        <f>'Kertas Kerja'!K224</f>
        <v>0</v>
      </c>
      <c r="E33" s="28">
        <f>'Kertas Kerja'!F243</f>
        <v>4</v>
      </c>
      <c r="F33" s="24"/>
      <c r="G33" s="25">
        <v>0.49562289562289602</v>
      </c>
      <c r="H33" s="25">
        <f t="shared" si="0"/>
        <v>1.9824915824915841</v>
      </c>
      <c r="I33" s="33"/>
      <c r="J33" s="33"/>
      <c r="K33" s="33"/>
      <c r="L33" s="33"/>
      <c r="M33" s="33"/>
      <c r="N33" s="33"/>
    </row>
    <row r="34" spans="1:14" s="2" customFormat="1" ht="48">
      <c r="A34" s="20">
        <v>22</v>
      </c>
      <c r="B34" s="26">
        <f>'Kertas Kerja'!A245</f>
        <v>21</v>
      </c>
      <c r="C34" s="30" t="s">
        <v>165</v>
      </c>
      <c r="D34" s="31">
        <f>'Kertas Kerja'!K245</f>
        <v>0</v>
      </c>
      <c r="E34" s="28">
        <f>'Kertas Kerja'!F251</f>
        <v>4</v>
      </c>
      <c r="F34" s="24"/>
      <c r="G34" s="25">
        <v>0.99124579124579104</v>
      </c>
      <c r="H34" s="25">
        <f t="shared" si="0"/>
        <v>3.9649831649831642</v>
      </c>
      <c r="I34" s="33"/>
      <c r="J34" s="33"/>
      <c r="K34" s="33"/>
      <c r="L34" s="33"/>
      <c r="M34" s="33"/>
      <c r="N34" s="33"/>
    </row>
    <row r="35" spans="1:14" s="2" customFormat="1" ht="36">
      <c r="A35" s="20">
        <v>23</v>
      </c>
      <c r="B35" s="26">
        <f>'Kertas Kerja'!A253</f>
        <v>22</v>
      </c>
      <c r="C35" s="30" t="s">
        <v>169</v>
      </c>
      <c r="D35" s="31">
        <f>'Kertas Kerja'!K253</f>
        <v>0</v>
      </c>
      <c r="E35" s="28">
        <f>'Kertas Kerja'!F261</f>
        <v>1.25</v>
      </c>
      <c r="F35" s="24"/>
      <c r="G35" s="25">
        <v>0.24781144781144801</v>
      </c>
      <c r="H35" s="25">
        <f t="shared" si="0"/>
        <v>0.30976430976431002</v>
      </c>
      <c r="I35" s="33"/>
      <c r="J35" s="33"/>
      <c r="K35" s="33"/>
      <c r="L35" s="33"/>
      <c r="M35" s="33"/>
      <c r="N35" s="33"/>
    </row>
    <row r="36" spans="1:14" s="2" customFormat="1" ht="24">
      <c r="A36" s="20">
        <v>24</v>
      </c>
      <c r="B36" s="26">
        <f>'Kertas Kerja'!A263</f>
        <v>23</v>
      </c>
      <c r="C36" s="30" t="s">
        <v>174</v>
      </c>
      <c r="D36" s="31">
        <f>'Kertas Kerja'!K263</f>
        <v>0</v>
      </c>
      <c r="E36" s="28">
        <f>'Kertas Kerja'!F269</f>
        <v>4</v>
      </c>
      <c r="F36" s="24"/>
      <c r="G36" s="25">
        <v>0.49562289562289602</v>
      </c>
      <c r="H36" s="25">
        <f t="shared" si="0"/>
        <v>1.9824915824915841</v>
      </c>
      <c r="I36" s="33"/>
      <c r="J36" s="33"/>
      <c r="K36" s="33"/>
      <c r="L36" s="33"/>
      <c r="M36" s="33"/>
      <c r="N36" s="33"/>
    </row>
    <row r="37" spans="1:14" s="2" customFormat="1" ht="12" hidden="1">
      <c r="A37" s="20">
        <v>25</v>
      </c>
      <c r="B37" s="26">
        <f>'Kertas Kerja'!A271</f>
        <v>0</v>
      </c>
      <c r="C37" s="32"/>
      <c r="D37" s="31">
        <f>'Kertas Kerja'!K271</f>
        <v>0</v>
      </c>
      <c r="E37" s="28">
        <f>'Kertas Kerja'!F276</f>
        <v>0</v>
      </c>
      <c r="F37" s="24"/>
      <c r="G37" s="25"/>
      <c r="H37" s="25">
        <f t="shared" si="0"/>
        <v>0</v>
      </c>
      <c r="I37" s="33"/>
      <c r="J37" s="33"/>
      <c r="K37" s="33"/>
      <c r="L37" s="33"/>
      <c r="M37" s="33"/>
      <c r="N37" s="33"/>
    </row>
    <row r="38" spans="1:14" s="2" customFormat="1" ht="48">
      <c r="A38" s="20">
        <v>26</v>
      </c>
      <c r="B38" s="26">
        <f>'Kertas Kerja'!A278</f>
        <v>24</v>
      </c>
      <c r="C38" s="30" t="s">
        <v>635</v>
      </c>
      <c r="D38" s="31">
        <f>'Kertas Kerja'!K278</f>
        <v>0</v>
      </c>
      <c r="E38" s="28">
        <f>'Kertas Kerja'!F283</f>
        <v>3</v>
      </c>
      <c r="F38" s="24"/>
      <c r="G38" s="25">
        <v>0.81101928374655596</v>
      </c>
      <c r="H38" s="25">
        <f t="shared" si="0"/>
        <v>2.4330578512396679</v>
      </c>
      <c r="I38" s="33"/>
      <c r="J38" s="33"/>
      <c r="K38" s="33"/>
      <c r="L38" s="33"/>
      <c r="M38" s="33"/>
      <c r="N38" s="33"/>
    </row>
    <row r="39" spans="1:14" s="2" customFormat="1" ht="48">
      <c r="A39" s="20">
        <v>27</v>
      </c>
      <c r="B39" s="26">
        <f>'Kertas Kerja'!A285</f>
        <v>25</v>
      </c>
      <c r="C39" s="30" t="s">
        <v>182</v>
      </c>
      <c r="D39" s="31">
        <f>'Kertas Kerja'!K285</f>
        <v>0</v>
      </c>
      <c r="E39" s="28">
        <f>'Kertas Kerja'!F301</f>
        <v>1.5</v>
      </c>
      <c r="F39" s="24"/>
      <c r="G39" s="25">
        <v>0.81101928374655596</v>
      </c>
      <c r="H39" s="25">
        <f t="shared" si="0"/>
        <v>1.2165289256198339</v>
      </c>
      <c r="I39" s="33"/>
      <c r="J39" s="33"/>
      <c r="K39" s="33"/>
      <c r="L39" s="33"/>
      <c r="M39" s="33"/>
      <c r="N39" s="33"/>
    </row>
    <row r="40" spans="1:14" s="2" customFormat="1" ht="48">
      <c r="A40" s="20">
        <v>28</v>
      </c>
      <c r="B40" s="26">
        <f>'Kertas Kerja'!A303</f>
        <v>26</v>
      </c>
      <c r="C40" s="30" t="s">
        <v>194</v>
      </c>
      <c r="D40" s="31">
        <f>'Kertas Kerja'!K303</f>
        <v>0</v>
      </c>
      <c r="E40" s="28">
        <f>'Kertas Kerja'!F319</f>
        <v>1.5</v>
      </c>
      <c r="F40" s="24"/>
      <c r="G40" s="25">
        <v>0.40550964187327798</v>
      </c>
      <c r="H40" s="25">
        <f t="shared" si="0"/>
        <v>0.60826446280991697</v>
      </c>
      <c r="I40" s="33"/>
      <c r="J40" s="33"/>
      <c r="K40" s="33"/>
      <c r="L40" s="33"/>
      <c r="M40" s="33"/>
      <c r="N40" s="33"/>
    </row>
    <row r="41" spans="1:14" s="2" customFormat="1" ht="60">
      <c r="A41" s="20">
        <v>29</v>
      </c>
      <c r="B41" s="26">
        <f>'Kertas Kerja'!A321</f>
        <v>27</v>
      </c>
      <c r="C41" s="33" t="s">
        <v>198</v>
      </c>
      <c r="D41" s="31">
        <f>'Kertas Kerja'!K321</f>
        <v>0</v>
      </c>
      <c r="E41" s="28">
        <f>'Kertas Kerja'!F344</f>
        <v>2</v>
      </c>
      <c r="F41" s="24"/>
      <c r="G41" s="25">
        <v>0.81101928374655596</v>
      </c>
      <c r="H41" s="25">
        <f t="shared" si="0"/>
        <v>1.6220385674931119</v>
      </c>
      <c r="I41" s="33"/>
      <c r="J41" s="33"/>
      <c r="K41" s="33"/>
      <c r="L41" s="33"/>
      <c r="M41" s="33"/>
      <c r="N41" s="33"/>
    </row>
    <row r="42" spans="1:14" s="2" customFormat="1" ht="36">
      <c r="A42" s="20">
        <v>30</v>
      </c>
      <c r="B42" s="26">
        <f>'Kertas Kerja'!A346</f>
        <v>28</v>
      </c>
      <c r="C42" s="34" t="s">
        <v>212</v>
      </c>
      <c r="D42" s="31">
        <f>'Kertas Kerja'!K346</f>
        <v>0</v>
      </c>
      <c r="E42" s="28">
        <f>'Kertas Kerja'!F351</f>
        <v>4</v>
      </c>
      <c r="F42" s="24"/>
      <c r="G42" s="25">
        <v>0.81101928374655596</v>
      </c>
      <c r="H42" s="25">
        <f t="shared" si="0"/>
        <v>3.2440771349862239</v>
      </c>
      <c r="I42" s="33"/>
      <c r="J42" s="33"/>
      <c r="K42" s="33"/>
      <c r="L42" s="33"/>
      <c r="M42" s="33"/>
      <c r="N42" s="33"/>
    </row>
    <row r="43" spans="1:14" s="2" customFormat="1" ht="12" hidden="1">
      <c r="A43" s="20">
        <v>31</v>
      </c>
      <c r="B43" s="26">
        <f>'Kertas Kerja'!A353</f>
        <v>0</v>
      </c>
      <c r="C43" s="32"/>
      <c r="D43" s="31">
        <f>'Kertas Kerja'!K353</f>
        <v>0</v>
      </c>
      <c r="E43" s="28">
        <f>'Kertas Kerja'!F358</f>
        <v>0</v>
      </c>
      <c r="F43" s="24"/>
      <c r="G43" s="25"/>
      <c r="H43" s="25">
        <f t="shared" si="0"/>
        <v>0</v>
      </c>
      <c r="I43" s="33"/>
      <c r="J43" s="33"/>
      <c r="K43" s="33"/>
      <c r="L43" s="33"/>
      <c r="M43" s="33"/>
      <c r="N43" s="33"/>
    </row>
    <row r="44" spans="1:14" s="2" customFormat="1" ht="48">
      <c r="A44" s="20">
        <v>32</v>
      </c>
      <c r="B44" s="26">
        <f>'Kertas Kerja'!A360</f>
        <v>29</v>
      </c>
      <c r="C44" s="34" t="s">
        <v>216</v>
      </c>
      <c r="D44" s="31">
        <f>'Kertas Kerja'!K360</f>
        <v>0</v>
      </c>
      <c r="E44" s="28">
        <f>'Kertas Kerja'!F368</f>
        <v>2</v>
      </c>
      <c r="F44" s="24"/>
      <c r="G44" s="25">
        <v>0.81101928374655596</v>
      </c>
      <c r="H44" s="25">
        <f t="shared" si="0"/>
        <v>1.6220385674931119</v>
      </c>
      <c r="I44" s="33"/>
      <c r="J44" s="33"/>
      <c r="K44" s="33"/>
      <c r="L44" s="33"/>
      <c r="M44" s="33"/>
      <c r="N44" s="33"/>
    </row>
    <row r="45" spans="1:14" s="2" customFormat="1" ht="24">
      <c r="A45" s="20">
        <v>33</v>
      </c>
      <c r="B45" s="26">
        <f>'Kertas Kerja'!A370</f>
        <v>30</v>
      </c>
      <c r="C45" s="30" t="s">
        <v>636</v>
      </c>
      <c r="D45" s="31">
        <f>'Kertas Kerja'!K370</f>
        <v>0</v>
      </c>
      <c r="E45" s="28">
        <f>'Kertas Kerja'!F377</f>
        <v>0</v>
      </c>
      <c r="F45" s="24"/>
      <c r="G45" s="25">
        <v>2.23030303030303</v>
      </c>
      <c r="H45" s="25">
        <f t="shared" si="0"/>
        <v>0</v>
      </c>
      <c r="I45" s="33"/>
      <c r="J45" s="33"/>
      <c r="K45" s="33"/>
      <c r="L45" s="33"/>
      <c r="M45" s="33"/>
      <c r="N45" s="33"/>
    </row>
    <row r="46" spans="1:14" s="2" customFormat="1" ht="120">
      <c r="A46" s="20">
        <v>34</v>
      </c>
      <c r="B46" s="26">
        <f>'Kertas Kerja'!A379</f>
        <v>31</v>
      </c>
      <c r="C46" s="30" t="s">
        <v>637</v>
      </c>
      <c r="D46" s="31">
        <f>'Kertas Kerja'!K379</f>
        <v>0</v>
      </c>
      <c r="E46" s="28">
        <f>'Kertas Kerja'!F391</f>
        <v>0</v>
      </c>
      <c r="F46" s="24"/>
      <c r="G46" s="25">
        <v>1.1151515151515199</v>
      </c>
      <c r="H46" s="25">
        <f t="shared" si="0"/>
        <v>0</v>
      </c>
      <c r="I46" s="33"/>
      <c r="J46" s="33"/>
      <c r="K46" s="33"/>
      <c r="L46" s="33"/>
      <c r="M46" s="33"/>
      <c r="N46" s="33"/>
    </row>
    <row r="47" spans="1:14" s="2" customFormat="1" ht="60">
      <c r="A47" s="20">
        <v>35</v>
      </c>
      <c r="B47" s="26">
        <f>'Kertas Kerja'!A393</f>
        <v>32</v>
      </c>
      <c r="C47" s="30" t="s">
        <v>638</v>
      </c>
      <c r="D47" s="31">
        <f>'Kertas Kerja'!K393</f>
        <v>0</v>
      </c>
      <c r="E47" s="28">
        <f>'Kertas Kerja'!F398</f>
        <v>0.20229950980392153</v>
      </c>
      <c r="F47" s="24"/>
      <c r="G47" s="25">
        <v>0.76666666666666705</v>
      </c>
      <c r="H47" s="25">
        <f t="shared" si="0"/>
        <v>0.15509629084967325</v>
      </c>
      <c r="I47" s="33"/>
      <c r="J47" s="33"/>
      <c r="K47" s="33"/>
      <c r="L47" s="33"/>
      <c r="M47" s="33"/>
      <c r="N47" s="33"/>
    </row>
    <row r="48" spans="1:14" s="2" customFormat="1" ht="24">
      <c r="A48" s="20">
        <v>36</v>
      </c>
      <c r="B48" s="26">
        <f>'Kertas Kerja'!A400</f>
        <v>33</v>
      </c>
      <c r="C48" s="30" t="s">
        <v>249</v>
      </c>
      <c r="D48" s="31">
        <f>'Kertas Kerja'!K400</f>
        <v>0</v>
      </c>
      <c r="E48" s="28">
        <f>'Kertas Kerja'!F405</f>
        <v>0.61061111111111666</v>
      </c>
      <c r="F48" s="24"/>
      <c r="G48" s="25">
        <v>0.76666666666666705</v>
      </c>
      <c r="H48" s="25">
        <f t="shared" si="0"/>
        <v>0.46813518518518965</v>
      </c>
      <c r="I48" s="33"/>
      <c r="J48" s="33"/>
      <c r="K48" s="33"/>
      <c r="L48" s="33"/>
      <c r="M48" s="33"/>
      <c r="N48" s="33"/>
    </row>
    <row r="49" spans="1:14" s="2" customFormat="1" ht="36">
      <c r="A49" s="20">
        <v>37</v>
      </c>
      <c r="B49" s="26">
        <f>'Kertas Kerja'!A407</f>
        <v>34</v>
      </c>
      <c r="C49" s="30" t="s">
        <v>252</v>
      </c>
      <c r="D49" s="31">
        <f>'Kertas Kerja'!K407</f>
        <v>0</v>
      </c>
      <c r="E49" s="28">
        <f>'Kertas Kerja'!F412</f>
        <v>0.45488888888889994</v>
      </c>
      <c r="F49" s="24"/>
      <c r="G49" s="25">
        <v>0.38333333333333303</v>
      </c>
      <c r="H49" s="25">
        <f t="shared" si="0"/>
        <v>0.17437407407407818</v>
      </c>
      <c r="I49" s="33"/>
      <c r="J49" s="33"/>
      <c r="K49" s="33"/>
      <c r="L49" s="33"/>
      <c r="M49" s="33"/>
      <c r="N49" s="33"/>
    </row>
    <row r="50" spans="1:14" s="2" customFormat="1" ht="36">
      <c r="A50" s="20">
        <v>38</v>
      </c>
      <c r="B50" s="26">
        <f>'Kertas Kerja'!A414</f>
        <v>35</v>
      </c>
      <c r="C50" s="30" t="s">
        <v>639</v>
      </c>
      <c r="D50" s="31">
        <f>'Kertas Kerja'!K414</f>
        <v>0</v>
      </c>
      <c r="E50" s="28">
        <f>'Kertas Kerja'!F421</f>
        <v>0</v>
      </c>
      <c r="F50" s="24"/>
      <c r="G50" s="25">
        <v>0.38333333333333303</v>
      </c>
      <c r="H50" s="25">
        <f t="shared" si="0"/>
        <v>0</v>
      </c>
      <c r="I50" s="33"/>
      <c r="J50" s="33"/>
      <c r="K50" s="33"/>
      <c r="L50" s="33"/>
      <c r="M50" s="33"/>
      <c r="N50" s="33"/>
    </row>
    <row r="51" spans="1:14" s="2" customFormat="1" ht="36">
      <c r="A51" s="20">
        <v>39</v>
      </c>
      <c r="B51" s="26">
        <f>'Kertas Kerja'!A423</f>
        <v>36</v>
      </c>
      <c r="C51" s="30" t="s">
        <v>262</v>
      </c>
      <c r="D51" s="31">
        <f>'Kertas Kerja'!K423</f>
        <v>0</v>
      </c>
      <c r="E51" s="28">
        <f>'Kertas Kerja'!F429</f>
        <v>0</v>
      </c>
      <c r="F51" s="24"/>
      <c r="G51" s="25">
        <v>0.76666666666666705</v>
      </c>
      <c r="H51" s="25">
        <f t="shared" si="0"/>
        <v>0</v>
      </c>
      <c r="I51" s="33"/>
      <c r="J51" s="33"/>
      <c r="K51" s="33"/>
      <c r="L51" s="33"/>
      <c r="M51" s="33"/>
      <c r="N51" s="33"/>
    </row>
    <row r="52" spans="1:14" s="2" customFormat="1" ht="84">
      <c r="A52" s="20">
        <v>40</v>
      </c>
      <c r="B52" s="26">
        <f>'Kertas Kerja'!A431</f>
        <v>37</v>
      </c>
      <c r="C52" s="30" t="s">
        <v>640</v>
      </c>
      <c r="D52" s="31">
        <f>'Kertas Kerja'!K431</f>
        <v>0</v>
      </c>
      <c r="E52" s="28">
        <f>'Kertas Kerja'!F437</f>
        <v>0</v>
      </c>
      <c r="F52" s="24"/>
      <c r="G52" s="25">
        <v>3.06666666666667</v>
      </c>
      <c r="H52" s="25">
        <f t="shared" si="0"/>
        <v>0</v>
      </c>
      <c r="I52" s="33"/>
      <c r="J52" s="33"/>
      <c r="K52" s="33"/>
      <c r="L52" s="33"/>
      <c r="M52" s="33"/>
      <c r="N52" s="33"/>
    </row>
    <row r="53" spans="1:14" s="2" customFormat="1" ht="156">
      <c r="A53" s="20">
        <v>41</v>
      </c>
      <c r="B53" s="26">
        <f>'Kertas Kerja'!A439</f>
        <v>38</v>
      </c>
      <c r="C53" s="30" t="s">
        <v>641</v>
      </c>
      <c r="D53" s="31">
        <f>'Kertas Kerja'!K439</f>
        <v>0</v>
      </c>
      <c r="E53" s="28">
        <f>'Kertas Kerja'!F457</f>
        <v>0</v>
      </c>
      <c r="F53" s="24"/>
      <c r="G53" s="25">
        <v>2.5090909090909101</v>
      </c>
      <c r="H53" s="25">
        <f t="shared" si="0"/>
        <v>0</v>
      </c>
      <c r="I53" s="33" t="s">
        <v>626</v>
      </c>
      <c r="J53" s="33" t="str">
        <f>IF(E53&gt;=2,"TERPENUHI","TIDAK TERPENUHI")</f>
        <v>TIDAK TERPENUHI</v>
      </c>
      <c r="K53" s="33"/>
      <c r="L53" s="33"/>
      <c r="M53" s="33"/>
      <c r="N53" s="33"/>
    </row>
    <row r="54" spans="1:14" s="2" customFormat="1" ht="108">
      <c r="A54" s="20">
        <v>42</v>
      </c>
      <c r="B54" s="26">
        <f>'Kertas Kerja'!A459</f>
        <v>39</v>
      </c>
      <c r="C54" s="30" t="s">
        <v>642</v>
      </c>
      <c r="D54" s="31">
        <f>'Kertas Kerja'!K459</f>
        <v>0</v>
      </c>
      <c r="E54" s="28">
        <f>'Kertas Kerja'!F465</f>
        <v>0</v>
      </c>
      <c r="F54" s="24"/>
      <c r="G54" s="25">
        <v>0.83636363636363598</v>
      </c>
      <c r="H54" s="25">
        <f t="shared" si="0"/>
        <v>0</v>
      </c>
      <c r="I54" s="33"/>
      <c r="J54" s="33"/>
      <c r="K54" s="33"/>
      <c r="L54" s="33"/>
      <c r="M54" s="33"/>
      <c r="N54" s="33"/>
    </row>
    <row r="55" spans="1:14" s="2" customFormat="1" ht="96">
      <c r="A55" s="20">
        <v>43</v>
      </c>
      <c r="B55" s="26">
        <f>'Kertas Kerja'!A467</f>
        <v>40</v>
      </c>
      <c r="C55" s="30" t="s">
        <v>643</v>
      </c>
      <c r="D55" s="31">
        <f>'Kertas Kerja'!K467</f>
        <v>0</v>
      </c>
      <c r="E55" s="28">
        <f>'Kertas Kerja'!F479</f>
        <v>0</v>
      </c>
      <c r="F55" s="24"/>
      <c r="G55" s="25">
        <v>1.67272727272727</v>
      </c>
      <c r="H55" s="25">
        <f t="shared" si="0"/>
        <v>0</v>
      </c>
      <c r="I55" s="33"/>
      <c r="J55" s="33"/>
      <c r="K55" s="33"/>
      <c r="L55" s="33"/>
      <c r="M55" s="33"/>
      <c r="N55" s="33"/>
    </row>
    <row r="56" spans="1:14" s="2" customFormat="1" ht="409.5">
      <c r="A56" s="20">
        <v>44</v>
      </c>
      <c r="B56" s="26">
        <f>'Kertas Kerja'!A481</f>
        <v>41</v>
      </c>
      <c r="C56" s="30" t="s">
        <v>644</v>
      </c>
      <c r="D56" s="31">
        <f>'Kertas Kerja'!K481</f>
        <v>0</v>
      </c>
      <c r="E56" s="28">
        <f>'Kertas Kerja'!F511</f>
        <v>0</v>
      </c>
      <c r="F56" s="24"/>
      <c r="G56" s="25">
        <v>1.1151515151515199</v>
      </c>
      <c r="H56" s="25">
        <f t="shared" si="0"/>
        <v>0</v>
      </c>
      <c r="I56" s="33"/>
      <c r="J56" s="33"/>
      <c r="K56" s="33"/>
      <c r="L56" s="33"/>
      <c r="M56" s="33"/>
      <c r="N56" s="33"/>
    </row>
    <row r="57" spans="1:14" s="2" customFormat="1" ht="60">
      <c r="A57" s="20">
        <v>45</v>
      </c>
      <c r="B57" s="26">
        <f>'Kertas Kerja'!A513</f>
        <v>42</v>
      </c>
      <c r="C57" s="30" t="s">
        <v>340</v>
      </c>
      <c r="D57" s="31">
        <f>'Kertas Kerja'!K513</f>
        <v>0</v>
      </c>
      <c r="E57" s="28">
        <f>'Kertas Kerja'!F518</f>
        <v>2.3529411764705883</v>
      </c>
      <c r="F57" s="24"/>
      <c r="G57" s="25">
        <v>0.55757575757575795</v>
      </c>
      <c r="H57" s="25">
        <f t="shared" si="0"/>
        <v>1.3119429590017835</v>
      </c>
      <c r="I57" s="33"/>
      <c r="J57" s="33"/>
      <c r="K57" s="33"/>
      <c r="L57" s="33"/>
      <c r="M57" s="33"/>
      <c r="N57" s="33"/>
    </row>
    <row r="58" spans="1:14" s="2" customFormat="1" ht="120">
      <c r="A58" s="20">
        <v>46</v>
      </c>
      <c r="B58" s="26">
        <f>'Kertas Kerja'!A520</f>
        <v>43</v>
      </c>
      <c r="C58" s="30" t="s">
        <v>645</v>
      </c>
      <c r="D58" s="31">
        <f>'Kertas Kerja'!K520</f>
        <v>0</v>
      </c>
      <c r="E58" s="35">
        <f>'Kertas Kerja'!F526</f>
        <v>0</v>
      </c>
      <c r="G58" s="25">
        <v>2.5090909090909101</v>
      </c>
      <c r="H58" s="25">
        <f t="shared" si="0"/>
        <v>0</v>
      </c>
      <c r="I58" s="33"/>
      <c r="J58" s="33"/>
      <c r="K58" s="33"/>
      <c r="L58" s="33"/>
      <c r="M58" s="33"/>
      <c r="N58" s="33"/>
    </row>
    <row r="59" spans="1:14" s="2" customFormat="1" ht="409.5">
      <c r="A59" s="20">
        <v>47</v>
      </c>
      <c r="B59" s="26">
        <f>'Kertas Kerja'!A528</f>
        <v>44</v>
      </c>
      <c r="C59" s="30" t="s">
        <v>646</v>
      </c>
      <c r="D59" s="31">
        <f>'Kertas Kerja'!K528</f>
        <v>0</v>
      </c>
      <c r="E59" s="36">
        <f>'Kertas Kerja'!F558</f>
        <v>0</v>
      </c>
      <c r="G59" s="25">
        <v>1.67272727272727</v>
      </c>
      <c r="H59" s="25">
        <f t="shared" si="0"/>
        <v>0</v>
      </c>
      <c r="I59" s="33"/>
      <c r="J59" s="33"/>
      <c r="K59" s="33"/>
      <c r="L59" s="33"/>
      <c r="M59" s="33"/>
      <c r="N59" s="33"/>
    </row>
    <row r="60" spans="1:14" s="2" customFormat="1" ht="96">
      <c r="A60" s="20">
        <v>48</v>
      </c>
      <c r="B60" s="26">
        <f>'Kertas Kerja'!A560</f>
        <v>45</v>
      </c>
      <c r="C60" s="30" t="s">
        <v>647</v>
      </c>
      <c r="D60" s="31">
        <f>'Kertas Kerja'!K560</f>
        <v>0</v>
      </c>
      <c r="E60" s="35">
        <f>'Kertas Kerja'!F566</f>
        <v>4</v>
      </c>
      <c r="G60" s="25">
        <v>1.67272727272727</v>
      </c>
      <c r="H60" s="25">
        <f t="shared" si="0"/>
        <v>6.6909090909090798</v>
      </c>
      <c r="I60" s="33"/>
      <c r="J60" s="33"/>
      <c r="K60" s="33"/>
      <c r="L60" s="33"/>
      <c r="M60" s="33"/>
      <c r="N60" s="33"/>
    </row>
    <row r="61" spans="1:14" s="2" customFormat="1" ht="120">
      <c r="A61" s="20">
        <v>49</v>
      </c>
      <c r="B61" s="26">
        <f>'Kertas Kerja'!A568</f>
        <v>46</v>
      </c>
      <c r="C61" s="30" t="s">
        <v>648</v>
      </c>
      <c r="D61" s="37">
        <f>'Kertas Kerja'!K568</f>
        <v>0</v>
      </c>
      <c r="E61" s="35">
        <f>'Kertas Kerja'!F574</f>
        <v>0</v>
      </c>
      <c r="G61" s="25">
        <v>2.5090909090909101</v>
      </c>
      <c r="H61" s="25">
        <f t="shared" si="0"/>
        <v>0</v>
      </c>
      <c r="I61" s="33"/>
      <c r="J61" s="33"/>
      <c r="K61" s="33"/>
      <c r="L61" s="33"/>
      <c r="M61" s="33"/>
      <c r="N61" s="33"/>
    </row>
    <row r="62" spans="1:14" s="2" customFormat="1" ht="84">
      <c r="A62" s="20">
        <v>50</v>
      </c>
      <c r="B62" s="26">
        <f>'Kertas Kerja'!A576</f>
        <v>47</v>
      </c>
      <c r="C62" s="30" t="s">
        <v>649</v>
      </c>
      <c r="D62" s="38">
        <f>'Kertas Kerja'!K576</f>
        <v>0</v>
      </c>
      <c r="E62" s="35">
        <f>'Kertas Kerja'!F613</f>
        <v>0</v>
      </c>
      <c r="G62" s="25">
        <v>3.3454545454545501</v>
      </c>
      <c r="H62" s="25">
        <f t="shared" si="0"/>
        <v>0</v>
      </c>
      <c r="I62" s="33"/>
      <c r="J62" s="33"/>
      <c r="K62" s="33"/>
      <c r="L62" s="33"/>
      <c r="M62" s="33"/>
      <c r="N62" s="33"/>
    </row>
    <row r="63" spans="1:14" s="2" customFormat="1" ht="240">
      <c r="A63" s="20">
        <v>51</v>
      </c>
      <c r="B63" s="26">
        <f>'Kertas Kerja'!A615</f>
        <v>48</v>
      </c>
      <c r="C63" s="30" t="s">
        <v>650</v>
      </c>
      <c r="D63" s="37">
        <f>'Kertas Kerja'!K615</f>
        <v>0</v>
      </c>
      <c r="E63" s="35">
        <f>'Kertas Kerja'!F621</f>
        <v>0</v>
      </c>
      <c r="G63" s="25">
        <v>1.5333333333333301</v>
      </c>
      <c r="H63" s="25">
        <f t="shared" si="0"/>
        <v>0</v>
      </c>
      <c r="I63" s="33"/>
      <c r="J63" s="33"/>
      <c r="K63" s="33"/>
      <c r="L63" s="33"/>
      <c r="M63" s="33"/>
      <c r="N63" s="33"/>
    </row>
    <row r="64" spans="1:14" s="2" customFormat="1" ht="84">
      <c r="A64" s="20">
        <v>52</v>
      </c>
      <c r="B64" s="26">
        <f>'Kertas Kerja'!A623</f>
        <v>49</v>
      </c>
      <c r="C64" s="30" t="s">
        <v>651</v>
      </c>
      <c r="D64" s="37">
        <f>'Kertas Kerja'!K623</f>
        <v>0</v>
      </c>
      <c r="E64" s="35">
        <f>'Kertas Kerja'!F628</f>
        <v>4</v>
      </c>
      <c r="G64" s="25">
        <v>3.06666666666667</v>
      </c>
      <c r="H64" s="25">
        <f t="shared" si="0"/>
        <v>12.26666666666668</v>
      </c>
      <c r="I64" s="33"/>
      <c r="J64" s="33"/>
      <c r="K64" s="33"/>
      <c r="L64" s="33"/>
      <c r="M64" s="33"/>
      <c r="N64" s="33"/>
    </row>
    <row r="65" spans="1:14" s="2" customFormat="1" ht="12" hidden="1">
      <c r="A65" s="20">
        <v>53</v>
      </c>
      <c r="B65" s="26">
        <f>'Kertas Kerja'!A630</f>
        <v>0</v>
      </c>
      <c r="C65" s="32"/>
      <c r="D65" s="37">
        <f>'Kertas Kerja'!K630</f>
        <v>0</v>
      </c>
      <c r="E65" s="35">
        <f>'Kertas Kerja'!F635</f>
        <v>0</v>
      </c>
      <c r="G65" s="25"/>
      <c r="H65" s="25">
        <f t="shared" si="0"/>
        <v>0</v>
      </c>
      <c r="I65" s="33"/>
      <c r="J65" s="33"/>
      <c r="K65" s="33"/>
      <c r="L65" s="33"/>
      <c r="M65" s="33"/>
      <c r="N65" s="33"/>
    </row>
    <row r="66" spans="1:14" s="2" customFormat="1" ht="228">
      <c r="A66" s="20">
        <v>54</v>
      </c>
      <c r="B66" s="26">
        <f>'Kertas Kerja'!A637</f>
        <v>50</v>
      </c>
      <c r="C66" s="30" t="s">
        <v>652</v>
      </c>
      <c r="D66" s="37">
        <f>'Kertas Kerja'!K637</f>
        <v>0</v>
      </c>
      <c r="E66" s="35">
        <f>'Kertas Kerja'!F643</f>
        <v>0</v>
      </c>
      <c r="G66" s="25">
        <v>0.51111111111111096</v>
      </c>
      <c r="H66" s="25">
        <f t="shared" si="0"/>
        <v>0</v>
      </c>
      <c r="I66" s="33"/>
      <c r="J66" s="33"/>
      <c r="K66" s="33"/>
      <c r="L66" s="33"/>
      <c r="M66" s="33"/>
      <c r="N66" s="33"/>
    </row>
    <row r="67" spans="1:14" s="2" customFormat="1" ht="84">
      <c r="A67" s="20">
        <v>55</v>
      </c>
      <c r="B67" s="26">
        <f>'Kertas Kerja'!A645</f>
        <v>51</v>
      </c>
      <c r="C67" s="30" t="s">
        <v>653</v>
      </c>
      <c r="D67" s="37">
        <f>'Kertas Kerja'!K645</f>
        <v>0</v>
      </c>
      <c r="E67" s="35">
        <f>'Kertas Kerja'!F650</f>
        <v>4</v>
      </c>
      <c r="G67" s="25">
        <v>1.0222222222222199</v>
      </c>
      <c r="H67" s="25">
        <f t="shared" si="0"/>
        <v>4.0888888888888797</v>
      </c>
      <c r="I67" s="33"/>
      <c r="J67" s="33"/>
      <c r="K67" s="33"/>
      <c r="L67" s="33"/>
      <c r="M67" s="33"/>
      <c r="N67" s="33"/>
    </row>
    <row r="68" spans="1:14" s="2" customFormat="1" ht="168">
      <c r="A68" s="20">
        <v>56</v>
      </c>
      <c r="B68" s="26">
        <f>'Kertas Kerja'!A652</f>
        <v>52</v>
      </c>
      <c r="C68" s="30" t="s">
        <v>654</v>
      </c>
      <c r="D68" s="37">
        <f>'Kertas Kerja'!K652</f>
        <v>0</v>
      </c>
      <c r="E68" s="35">
        <f>'Kertas Kerja'!F658</f>
        <v>0</v>
      </c>
      <c r="G68" s="25">
        <v>1.9166666666666701</v>
      </c>
      <c r="H68" s="25">
        <f t="shared" si="0"/>
        <v>0</v>
      </c>
      <c r="I68" s="33"/>
      <c r="J68" s="33"/>
      <c r="K68" s="33"/>
      <c r="L68" s="33"/>
      <c r="M68" s="33"/>
      <c r="N68" s="33"/>
    </row>
    <row r="69" spans="1:14" s="2" customFormat="1" ht="24">
      <c r="A69" s="20">
        <v>57</v>
      </c>
      <c r="B69" s="26">
        <f>'Kertas Kerja'!A660</f>
        <v>53</v>
      </c>
      <c r="C69" s="30" t="s">
        <v>428</v>
      </c>
      <c r="D69" s="37">
        <f>'Kertas Kerja'!K660</f>
        <v>0</v>
      </c>
      <c r="E69" s="35">
        <f>'Kertas Kerja'!F670</f>
        <v>4</v>
      </c>
      <c r="G69" s="25">
        <v>1.9166666666666701</v>
      </c>
      <c r="H69" s="25">
        <f t="shared" si="0"/>
        <v>7.6666666666666803</v>
      </c>
      <c r="I69" s="33"/>
      <c r="J69" s="33"/>
      <c r="K69" s="33"/>
      <c r="L69" s="33"/>
      <c r="M69" s="33"/>
      <c r="N69" s="33"/>
    </row>
    <row r="70" spans="1:14" s="2" customFormat="1" ht="48">
      <c r="A70" s="20">
        <v>58</v>
      </c>
      <c r="B70" s="26">
        <f>'Kertas Kerja'!A672</f>
        <v>54</v>
      </c>
      <c r="C70" s="30" t="s">
        <v>436</v>
      </c>
      <c r="D70" s="37">
        <f>'Kertas Kerja'!K672</f>
        <v>0</v>
      </c>
      <c r="E70" s="35">
        <f>'Kertas Kerja'!F688</f>
        <v>2.7352941176470589</v>
      </c>
      <c r="G70" s="25">
        <v>2.875</v>
      </c>
      <c r="H70" s="25">
        <f t="shared" si="0"/>
        <v>7.8639705882352944</v>
      </c>
      <c r="I70" s="33"/>
      <c r="J70" s="33"/>
      <c r="K70" s="33"/>
      <c r="L70" s="33"/>
      <c r="M70" s="33"/>
      <c r="N70" s="33"/>
    </row>
    <row r="71" spans="1:14" s="2" customFormat="1" ht="48">
      <c r="A71" s="20">
        <v>59</v>
      </c>
      <c r="B71" s="26">
        <f>'Kertas Kerja'!A690</f>
        <v>55</v>
      </c>
      <c r="C71" s="30" t="s">
        <v>446</v>
      </c>
      <c r="D71" s="37">
        <f>'Kertas Kerja'!K690</f>
        <v>0</v>
      </c>
      <c r="E71" s="35">
        <f>'Kertas Kerja'!F706</f>
        <v>2.3676470588235294</v>
      </c>
      <c r="G71" s="25">
        <v>0.95833333333333304</v>
      </c>
      <c r="H71" s="25">
        <f t="shared" si="0"/>
        <v>2.2689950980392148</v>
      </c>
      <c r="I71" s="33"/>
      <c r="J71" s="33"/>
      <c r="K71" s="33"/>
      <c r="L71" s="33"/>
      <c r="M71" s="33"/>
      <c r="N71" s="33"/>
    </row>
    <row r="72" spans="1:14" s="2" customFormat="1" ht="24">
      <c r="A72" s="20">
        <v>60</v>
      </c>
      <c r="B72" s="26">
        <f>'Kertas Kerja'!A708</f>
        <v>56</v>
      </c>
      <c r="C72" s="30" t="s">
        <v>450</v>
      </c>
      <c r="D72" s="31">
        <f>'Kertas Kerja'!K708</f>
        <v>0</v>
      </c>
      <c r="E72" s="25">
        <f>'Kertas Kerja'!F720</f>
        <v>3.2</v>
      </c>
      <c r="G72" s="25">
        <v>1.9166666666666701</v>
      </c>
      <c r="H72" s="25">
        <f t="shared" si="0"/>
        <v>6.1333333333333444</v>
      </c>
      <c r="I72" s="33"/>
      <c r="J72" s="33"/>
      <c r="K72" s="33"/>
      <c r="L72" s="33"/>
      <c r="M72" s="33"/>
      <c r="N72" s="33"/>
    </row>
    <row r="73" spans="1:14" s="2" customFormat="1" ht="24">
      <c r="A73" s="20">
        <v>61</v>
      </c>
      <c r="B73" s="26">
        <f>'Kertas Kerja'!A722</f>
        <v>57</v>
      </c>
      <c r="C73" s="30" t="s">
        <v>460</v>
      </c>
      <c r="D73" s="31">
        <f>'Kertas Kerja'!K722</f>
        <v>0</v>
      </c>
      <c r="E73" s="25">
        <f>'Kertas Kerja'!F735</f>
        <v>1.796068796068796</v>
      </c>
      <c r="G73" s="25">
        <v>1.9166666666666701</v>
      </c>
      <c r="H73" s="25">
        <f t="shared" si="0"/>
        <v>3.4424651924651983</v>
      </c>
      <c r="I73" s="33"/>
      <c r="J73" s="33"/>
      <c r="K73" s="33"/>
      <c r="L73" s="33"/>
      <c r="M73" s="33"/>
      <c r="N73" s="33"/>
    </row>
    <row r="74" spans="1:14" s="2" customFormat="1" ht="24">
      <c r="A74" s="20">
        <v>62</v>
      </c>
      <c r="B74" s="26">
        <f>'Kertas Kerja'!A737</f>
        <v>58</v>
      </c>
      <c r="C74" s="30" t="s">
        <v>470</v>
      </c>
      <c r="D74" s="31">
        <f>'Kertas Kerja'!K737</f>
        <v>0</v>
      </c>
      <c r="E74" s="25">
        <f>'Kertas Kerja'!F747</f>
        <v>0</v>
      </c>
      <c r="G74" s="28">
        <v>1.9166666666666701</v>
      </c>
      <c r="H74" s="25">
        <f t="shared" si="0"/>
        <v>0</v>
      </c>
      <c r="I74" s="33"/>
      <c r="J74" s="33"/>
      <c r="K74" s="33"/>
      <c r="L74" s="33"/>
      <c r="M74" s="33"/>
      <c r="N74" s="33"/>
    </row>
    <row r="75" spans="1:14" s="2" customFormat="1" ht="180">
      <c r="A75" s="20">
        <v>63</v>
      </c>
      <c r="B75" s="26">
        <f>'Kertas Kerja'!A749</f>
        <v>59</v>
      </c>
      <c r="C75" s="30" t="s">
        <v>655</v>
      </c>
      <c r="D75" s="31">
        <f>'Kertas Kerja'!K749</f>
        <v>0</v>
      </c>
      <c r="E75" s="25">
        <f>'Kertas Kerja'!F755</f>
        <v>0</v>
      </c>
      <c r="G75" s="28">
        <v>2.875</v>
      </c>
      <c r="H75" s="25">
        <f t="shared" si="0"/>
        <v>0</v>
      </c>
      <c r="I75" s="33"/>
      <c r="J75" s="33"/>
      <c r="K75" s="33"/>
      <c r="L75" s="33"/>
      <c r="M75" s="33"/>
      <c r="N75" s="33"/>
    </row>
    <row r="76" spans="1:14" s="2" customFormat="1" ht="24">
      <c r="A76" s="20">
        <v>64</v>
      </c>
      <c r="B76" s="26">
        <f>'Kertas Kerja'!A757</f>
        <v>60</v>
      </c>
      <c r="C76" s="30" t="s">
        <v>656</v>
      </c>
      <c r="D76" s="31">
        <f>'Kertas Kerja'!K757</f>
        <v>0</v>
      </c>
      <c r="E76" s="25">
        <f>'Kertas Kerja'!F785</f>
        <v>4</v>
      </c>
      <c r="G76" s="28">
        <v>2.875</v>
      </c>
      <c r="H76" s="25">
        <f t="shared" si="0"/>
        <v>11.5</v>
      </c>
      <c r="I76" s="33"/>
      <c r="J76" s="33"/>
      <c r="K76" s="33" t="s">
        <v>632</v>
      </c>
      <c r="L76" s="33" t="str">
        <f>IF(E76&gt;=3.5,"TERPENUHI","TIDAK TERPENUHI")</f>
        <v>TERPENUHI</v>
      </c>
      <c r="M76" s="33" t="s">
        <v>633</v>
      </c>
      <c r="N76" s="33" t="str">
        <f>IF(E76&gt;=3,"TERPENUHI","TIDAK TERPENUHI")</f>
        <v>TERPENUHI</v>
      </c>
    </row>
    <row r="77" spans="1:14" s="2" customFormat="1" ht="24">
      <c r="A77" s="20">
        <v>65</v>
      </c>
      <c r="B77" s="26">
        <f>'Kertas Kerja'!A787</f>
        <v>61</v>
      </c>
      <c r="C77" s="30" t="s">
        <v>507</v>
      </c>
      <c r="D77" s="31">
        <f>'Kertas Kerja'!K787</f>
        <v>0</v>
      </c>
      <c r="E77" s="25">
        <f>'Kertas Kerja'!F813</f>
        <v>3.5196078431372548</v>
      </c>
      <c r="G77" s="28">
        <v>1.9166666666666701</v>
      </c>
      <c r="H77" s="25">
        <f t="shared" si="0"/>
        <v>6.7459150326797506</v>
      </c>
      <c r="I77" s="33"/>
      <c r="J77" s="33"/>
      <c r="K77" s="33" t="s">
        <v>632</v>
      </c>
      <c r="L77" s="33" t="str">
        <f>IF(E77&gt;=3.5,"TERPENUHI","TIDAK TERPENUHI")</f>
        <v>TERPENUHI</v>
      </c>
      <c r="M77" s="33" t="s">
        <v>633</v>
      </c>
      <c r="N77" s="33" t="str">
        <f>IF(E77&gt;=3,"TERPENUHI","TIDAK TERPENUHI")</f>
        <v>TERPENUHI</v>
      </c>
    </row>
    <row r="78" spans="1:14" s="2" customFormat="1" ht="36">
      <c r="A78" s="20">
        <v>66</v>
      </c>
      <c r="B78" s="26">
        <f>'Kertas Kerja'!A815</f>
        <v>62</v>
      </c>
      <c r="C78" s="30" t="s">
        <v>519</v>
      </c>
      <c r="D78" s="31">
        <f>'Kertas Kerja'!K815</f>
        <v>0</v>
      </c>
      <c r="E78" s="25">
        <f>'Kertas Kerja'!F847</f>
        <v>3</v>
      </c>
      <c r="G78" s="25">
        <v>1.9166666666666701</v>
      </c>
      <c r="H78" s="25">
        <f t="shared" ref="H78:H87" si="1">E78*G78</f>
        <v>5.7500000000000107</v>
      </c>
      <c r="I78" s="33"/>
      <c r="J78" s="33"/>
      <c r="K78" s="33"/>
      <c r="L78" s="33"/>
      <c r="M78" s="33"/>
      <c r="N78" s="33"/>
    </row>
    <row r="79" spans="1:14" s="2" customFormat="1" ht="36">
      <c r="A79" s="20">
        <v>67</v>
      </c>
      <c r="B79" s="26">
        <f>'Kertas Kerja'!A849</f>
        <v>63</v>
      </c>
      <c r="C79" s="30" t="s">
        <v>534</v>
      </c>
      <c r="D79" s="31">
        <f>'Kertas Kerja'!K849</f>
        <v>0</v>
      </c>
      <c r="E79" s="25">
        <f>'Kertas Kerja'!F896</f>
        <v>3.7285714285714286</v>
      </c>
      <c r="G79" s="25">
        <v>3.8333333333333299</v>
      </c>
      <c r="H79" s="25">
        <f t="shared" si="1"/>
        <v>14.29285714285713</v>
      </c>
      <c r="I79" s="33"/>
      <c r="J79" s="33"/>
      <c r="K79" s="33"/>
      <c r="L79" s="33"/>
      <c r="M79" s="33"/>
      <c r="N79" s="33"/>
    </row>
    <row r="80" spans="1:14" s="2" customFormat="1" ht="108">
      <c r="A80" s="20">
        <v>68</v>
      </c>
      <c r="B80" s="26">
        <f>'Kertas Kerja'!A898</f>
        <v>64</v>
      </c>
      <c r="C80" s="30" t="s">
        <v>657</v>
      </c>
      <c r="D80" s="31">
        <f>'Kertas Kerja'!K898</f>
        <v>0</v>
      </c>
      <c r="E80" s="25">
        <f>'Kertas Kerja'!F921</f>
        <v>2.2205882352941178</v>
      </c>
      <c r="G80" s="25">
        <v>2.875</v>
      </c>
      <c r="H80" s="25">
        <f t="shared" si="1"/>
        <v>6.3841911764705888</v>
      </c>
      <c r="I80" s="33"/>
      <c r="J80" s="33"/>
      <c r="K80" s="33"/>
      <c r="L80" s="33"/>
      <c r="M80" s="33"/>
      <c r="N80" s="33"/>
    </row>
    <row r="81" spans="1:14" s="2" customFormat="1" ht="12" hidden="1">
      <c r="A81" s="20">
        <v>69</v>
      </c>
      <c r="B81" s="26">
        <f>'Kertas Kerja'!A923</f>
        <v>0</v>
      </c>
      <c r="C81" s="32"/>
      <c r="D81" s="31">
        <f>'Kertas Kerja'!K923</f>
        <v>0</v>
      </c>
      <c r="E81" s="25">
        <f>'Kertas Kerja'!F926</f>
        <v>0</v>
      </c>
      <c r="G81" s="25"/>
      <c r="H81" s="25">
        <f t="shared" si="1"/>
        <v>0</v>
      </c>
      <c r="I81" s="33"/>
      <c r="J81" s="33"/>
      <c r="K81" s="33"/>
      <c r="L81" s="33"/>
      <c r="M81" s="33"/>
      <c r="N81" s="33"/>
    </row>
    <row r="82" spans="1:14" s="2" customFormat="1" ht="12" hidden="1">
      <c r="A82" s="20">
        <v>70</v>
      </c>
      <c r="B82" s="26">
        <f>'Kertas Kerja'!A928</f>
        <v>0</v>
      </c>
      <c r="C82" s="32"/>
      <c r="D82" s="31">
        <f>'Kertas Kerja'!K928</f>
        <v>0</v>
      </c>
      <c r="E82" s="25">
        <f>'Kertas Kerja'!F931</f>
        <v>0</v>
      </c>
      <c r="G82" s="25"/>
      <c r="H82" s="25">
        <f t="shared" si="1"/>
        <v>0</v>
      </c>
      <c r="I82" s="33"/>
      <c r="J82" s="33"/>
      <c r="K82" s="33"/>
      <c r="L82" s="33"/>
      <c r="M82" s="33"/>
      <c r="N82" s="33"/>
    </row>
    <row r="83" spans="1:14" s="2" customFormat="1" ht="60">
      <c r="A83" s="20">
        <v>71</v>
      </c>
      <c r="B83" s="26">
        <f>'Kertas Kerja'!A933</f>
        <v>65</v>
      </c>
      <c r="C83" s="30" t="s">
        <v>565</v>
      </c>
      <c r="D83" s="31">
        <f>'Kertas Kerja'!K933</f>
        <v>0</v>
      </c>
      <c r="E83" s="25">
        <f>'Kertas Kerja'!F940</f>
        <v>2</v>
      </c>
      <c r="G83" s="25">
        <v>0.95833333333333304</v>
      </c>
      <c r="H83" s="25">
        <f t="shared" si="1"/>
        <v>1.9166666666666661</v>
      </c>
      <c r="I83" s="33"/>
      <c r="J83" s="33"/>
      <c r="K83" s="33"/>
      <c r="L83" s="33"/>
      <c r="M83" s="33"/>
      <c r="N83" s="33"/>
    </row>
    <row r="84" spans="1:14" s="2" customFormat="1" ht="120">
      <c r="A84" s="20">
        <v>72</v>
      </c>
      <c r="B84" s="26">
        <f>'Kertas Kerja'!A942</f>
        <v>66</v>
      </c>
      <c r="C84" s="41" t="s">
        <v>658</v>
      </c>
      <c r="D84" s="31">
        <f>'Kertas Kerja'!K942</f>
        <v>0</v>
      </c>
      <c r="E84" s="25">
        <f>'Kertas Kerja'!F948</f>
        <v>0</v>
      </c>
      <c r="G84" s="25">
        <v>1.5</v>
      </c>
      <c r="H84" s="25">
        <f t="shared" si="1"/>
        <v>0</v>
      </c>
      <c r="I84" s="33"/>
      <c r="J84" s="33"/>
      <c r="K84" s="33"/>
      <c r="L84" s="33"/>
      <c r="M84" s="33"/>
      <c r="N84" s="33"/>
    </row>
    <row r="85" spans="1:14" s="2" customFormat="1" ht="72">
      <c r="A85" s="20">
        <v>73</v>
      </c>
      <c r="B85" s="26">
        <f>'Kertas Kerja'!A950</f>
        <v>67</v>
      </c>
      <c r="C85" s="41" t="s">
        <v>659</v>
      </c>
      <c r="D85" s="31">
        <f>'Kertas Kerja'!K950</f>
        <v>0</v>
      </c>
      <c r="E85" s="25">
        <f>'Kertas Kerja'!F956</f>
        <v>0</v>
      </c>
      <c r="G85" s="25">
        <v>2</v>
      </c>
      <c r="H85" s="25">
        <f t="shared" si="1"/>
        <v>0</v>
      </c>
      <c r="I85" s="33"/>
      <c r="J85" s="33"/>
      <c r="K85" s="33"/>
      <c r="L85" s="33"/>
      <c r="M85" s="33"/>
      <c r="N85" s="33"/>
    </row>
    <row r="86" spans="1:14" s="2" customFormat="1" ht="60">
      <c r="A86" s="20">
        <v>74</v>
      </c>
      <c r="B86" s="26">
        <f>'Kertas Kerja'!A958</f>
        <v>68</v>
      </c>
      <c r="C86" s="41" t="s">
        <v>660</v>
      </c>
      <c r="D86" s="31">
        <f>'Kertas Kerja'!K958</f>
        <v>0</v>
      </c>
      <c r="E86" s="25">
        <f>'Kertas Kerja'!F964</f>
        <v>0</v>
      </c>
      <c r="G86" s="25">
        <v>1.5</v>
      </c>
      <c r="H86" s="25">
        <f t="shared" si="1"/>
        <v>0</v>
      </c>
      <c r="I86" s="33"/>
      <c r="J86" s="33"/>
      <c r="K86" s="33"/>
      <c r="L86" s="33"/>
      <c r="M86" s="33"/>
      <c r="N86" s="33"/>
    </row>
    <row r="87" spans="1:14" s="2" customFormat="1" ht="72">
      <c r="A87" s="20">
        <v>75</v>
      </c>
      <c r="B87" s="26">
        <f>'Kertas Kerja'!A966</f>
        <v>69</v>
      </c>
      <c r="C87" s="42" t="s">
        <v>661</v>
      </c>
      <c r="D87" s="31">
        <f>'Kertas Kerja'!K966</f>
        <v>0</v>
      </c>
      <c r="E87" s="25">
        <f>'Kertas Kerja'!F972</f>
        <v>0</v>
      </c>
      <c r="G87" s="25">
        <v>1</v>
      </c>
      <c r="H87" s="25">
        <f t="shared" si="1"/>
        <v>0</v>
      </c>
      <c r="I87" s="33"/>
      <c r="J87" s="33"/>
      <c r="K87" s="33"/>
      <c r="L87" s="33"/>
      <c r="M87" s="33"/>
      <c r="N87" s="33"/>
    </row>
    <row r="88" spans="1:14" customFormat="1" ht="15">
      <c r="A88" s="43"/>
      <c r="B88" s="43"/>
      <c r="C88" s="10"/>
      <c r="D88" s="44"/>
      <c r="E88" s="40"/>
      <c r="I88" s="10"/>
      <c r="J88" s="10"/>
      <c r="K88" s="10"/>
    </row>
    <row r="89" spans="1:14" customFormat="1" ht="15">
      <c r="A89" s="43"/>
      <c r="B89" s="43"/>
      <c r="C89" s="10"/>
      <c r="D89" s="45" t="str">
        <f>Menu!P22&amp;", "&amp;TEXT(Menu!P24,"dd mmmm yyyy")</f>
        <v xml:space="preserve"> ,  </v>
      </c>
      <c r="E89" s="40"/>
      <c r="I89" s="10"/>
      <c r="J89" s="10"/>
      <c r="K89" s="10"/>
    </row>
    <row r="90" spans="1:14" customFormat="1" ht="15">
      <c r="A90" s="43"/>
      <c r="B90" s="43"/>
      <c r="C90" s="10"/>
      <c r="D90" s="45"/>
      <c r="E90" s="40"/>
      <c r="I90" s="10"/>
      <c r="J90" s="10"/>
      <c r="K90" s="10"/>
    </row>
    <row r="91" spans="1:14" customFormat="1" ht="15">
      <c r="A91" s="43"/>
      <c r="B91" s="43"/>
      <c r="C91" s="10"/>
      <c r="D91" s="44"/>
      <c r="E91" s="40"/>
      <c r="I91" s="10"/>
      <c r="J91" s="10"/>
      <c r="K91" s="10"/>
    </row>
    <row r="92" spans="1:14" customFormat="1" ht="15">
      <c r="A92" s="43"/>
      <c r="B92" s="43"/>
      <c r="C92" s="10"/>
      <c r="D92" s="16"/>
      <c r="E92" s="40"/>
      <c r="I92" s="10"/>
      <c r="J92" s="10"/>
      <c r="K92" s="10"/>
    </row>
    <row r="93" spans="1:14" customFormat="1" ht="15">
      <c r="A93" s="43"/>
      <c r="B93" s="43"/>
      <c r="C93" s="10"/>
      <c r="D93" s="46" t="s">
        <v>662</v>
      </c>
      <c r="E93" s="40"/>
      <c r="I93" s="10"/>
      <c r="J93" s="10"/>
      <c r="K93" s="10"/>
    </row>
    <row r="94" spans="1:14" customFormat="1" ht="15">
      <c r="A94" s="43"/>
      <c r="B94" s="43"/>
      <c r="C94" s="10"/>
      <c r="D94" s="47"/>
      <c r="E94" s="40"/>
      <c r="I94" s="10"/>
      <c r="J94" s="10"/>
      <c r="K94" s="10"/>
    </row>
    <row r="95" spans="1:14" customFormat="1" ht="15">
      <c r="A95" s="43"/>
      <c r="B95" s="43"/>
      <c r="C95" s="10"/>
      <c r="D95" s="47"/>
      <c r="E95" s="40"/>
      <c r="I95" s="10"/>
      <c r="J95" s="10"/>
      <c r="K95" s="10"/>
    </row>
    <row r="96" spans="1:14" customFormat="1" ht="15">
      <c r="A96" s="43"/>
      <c r="B96" s="43"/>
      <c r="C96" s="10"/>
      <c r="D96" s="46" t="str">
        <f>"( "&amp;Menu!P20&amp;" )"</f>
        <v>(   )</v>
      </c>
      <c r="E96" s="40"/>
      <c r="I96" s="10"/>
      <c r="J96" s="10"/>
      <c r="K96" s="10"/>
    </row>
  </sheetData>
  <sheetProtection formatColumns="0" formatRows="0" selectLockedCells="1"/>
  <mergeCells count="15">
    <mergeCell ref="B1:E1"/>
    <mergeCell ref="G1:K1"/>
    <mergeCell ref="B2:E2"/>
    <mergeCell ref="G2:K2"/>
    <mergeCell ref="B3:E3"/>
    <mergeCell ref="G3:K3"/>
    <mergeCell ref="B5:E5"/>
    <mergeCell ref="K8:N8"/>
    <mergeCell ref="K9:N9"/>
    <mergeCell ref="K10:N10"/>
    <mergeCell ref="I12:J12"/>
    <mergeCell ref="K12:L12"/>
    <mergeCell ref="M12:N12"/>
    <mergeCell ref="G5:I6"/>
    <mergeCell ref="K5:L6"/>
  </mergeCells>
  <conditionalFormatting sqref="B13:B87">
    <cfRule type="cellIs" dxfId="24" priority="88" operator="equal">
      <formula>0</formula>
    </cfRule>
  </conditionalFormatting>
  <conditionalFormatting sqref="C13:C21 C24:C30 C73:C79 C81:C87">
    <cfRule type="cellIs" dxfId="23" priority="58" operator="equal">
      <formula>"Tidak dinilai"</formula>
    </cfRule>
  </conditionalFormatting>
  <conditionalFormatting sqref="C32:C64">
    <cfRule type="cellIs" dxfId="22" priority="52" operator="equal">
      <formula>"Tidak dinilai"</formula>
    </cfRule>
  </conditionalFormatting>
  <conditionalFormatting sqref="C66:C71">
    <cfRule type="cellIs" dxfId="21" priority="56" operator="equal">
      <formula>"Tidak dinilai"</formula>
    </cfRule>
  </conditionalFormatting>
  <conditionalFormatting sqref="G13:G87">
    <cfRule type="cellIs" dxfId="20" priority="51" operator="equal">
      <formula>"Tidak dinilai"</formula>
    </cfRule>
  </conditionalFormatting>
  <conditionalFormatting sqref="J24">
    <cfRule type="containsText" dxfId="19" priority="49" operator="containsText" text="TIDAK TERPENUHI">
      <formula>NOT(ISERROR(SEARCH("TIDAK TERPENUHI",J24)))</formula>
    </cfRule>
    <cfRule type="containsText" dxfId="18" priority="50" operator="containsText" text="TERPENUHI">
      <formula>NOT(ISERROR(SEARCH("TERPENUHI",J24)))</formula>
    </cfRule>
  </conditionalFormatting>
  <conditionalFormatting sqref="J29">
    <cfRule type="containsText" dxfId="17" priority="27" operator="containsText" text="TIDAK TERPENUHI">
      <formula>NOT(ISERROR(SEARCH("TIDAK TERPENUHI",J29)))</formula>
    </cfRule>
    <cfRule type="containsText" dxfId="16" priority="28" operator="containsText" text="TERPENUHI">
      <formula>NOT(ISERROR(SEARCH("TERPENUHI",J29)))</formula>
    </cfRule>
  </conditionalFormatting>
  <conditionalFormatting sqref="J53">
    <cfRule type="containsText" dxfId="15" priority="17" operator="containsText" text="TIDAK TERPENUHI">
      <formula>NOT(ISERROR(SEARCH("TIDAK TERPENUHI",J53)))</formula>
    </cfRule>
    <cfRule type="containsText" dxfId="14" priority="18" operator="containsText" text="TERPENUHI">
      <formula>NOT(ISERROR(SEARCH("TERPENUHI",J53)))</formula>
    </cfRule>
  </conditionalFormatting>
  <conditionalFormatting sqref="K8:K10">
    <cfRule type="containsText" dxfId="13" priority="33" operator="containsText" text="TIDAK TERPENUHI">
      <formula>NOT(ISERROR(SEARCH("TIDAK TERPENUHI",K8)))</formula>
    </cfRule>
    <cfRule type="containsText" dxfId="12" priority="34" operator="containsText" text="TERPENUHI">
      <formula>NOT(ISERROR(SEARCH("TERPENUHI",K8)))</formula>
    </cfRule>
  </conditionalFormatting>
  <conditionalFormatting sqref="L30">
    <cfRule type="containsText" dxfId="11" priority="25" operator="containsText" text="TIDAK TERPENUHI">
      <formula>NOT(ISERROR(SEARCH("TIDAK TERPENUHI",L30)))</formula>
    </cfRule>
    <cfRule type="containsText" dxfId="10" priority="26" operator="containsText" text="TERPENUHI">
      <formula>NOT(ISERROR(SEARCH("TERPENUHI",L30)))</formula>
    </cfRule>
  </conditionalFormatting>
  <conditionalFormatting sqref="L32">
    <cfRule type="containsText" dxfId="9" priority="7" operator="containsText" text="TIDAK TERPENUHI">
      <formula>NOT(ISERROR(SEARCH("TIDAK TERPENUHI",L32)))</formula>
    </cfRule>
    <cfRule type="containsText" dxfId="8" priority="8" operator="containsText" text="TERPENUHI">
      <formula>NOT(ISERROR(SEARCH("TERPENUHI",L32)))</formula>
    </cfRule>
  </conditionalFormatting>
  <conditionalFormatting sqref="L76:L77">
    <cfRule type="containsText" dxfId="7" priority="3" operator="containsText" text="TIDAK TERPENUHI">
      <formula>NOT(ISERROR(SEARCH("TIDAK TERPENUHI",L76)))</formula>
    </cfRule>
    <cfRule type="containsText" dxfId="6" priority="4" operator="containsText" text="TERPENUHI">
      <formula>NOT(ISERROR(SEARCH("TERPENUHI",L76)))</formula>
    </cfRule>
  </conditionalFormatting>
  <conditionalFormatting sqref="N30">
    <cfRule type="containsText" dxfId="5" priority="23" operator="containsText" text="TIDAK TERPENUHI">
      <formula>NOT(ISERROR(SEARCH("TIDAK TERPENUHI",N30)))</formula>
    </cfRule>
    <cfRule type="containsText" dxfId="4" priority="24" operator="containsText" text="TERPENUHI">
      <formula>NOT(ISERROR(SEARCH("TERPENUHI",N30)))</formula>
    </cfRule>
  </conditionalFormatting>
  <conditionalFormatting sqref="N32">
    <cfRule type="containsText" dxfId="3" priority="5" operator="containsText" text="TIDAK TERPENUHI">
      <formula>NOT(ISERROR(SEARCH("TIDAK TERPENUHI",N32)))</formula>
    </cfRule>
    <cfRule type="containsText" dxfId="2" priority="6" operator="containsText" text="TERPENUHI">
      <formula>NOT(ISERROR(SEARCH("TERPENUHI",N32)))</formula>
    </cfRule>
  </conditionalFormatting>
  <conditionalFormatting sqref="N76:N77">
    <cfRule type="containsText" dxfId="1" priority="1" operator="containsText" text="TIDAK TERPENUHI">
      <formula>NOT(ISERROR(SEARCH("TIDAK TERPENUHI",N76)))</formula>
    </cfRule>
    <cfRule type="containsText" dxfId="0" priority="2" operator="containsText" text="TERPENUHI">
      <formula>NOT(ISERROR(SEARCH("TERPENUHI",N76)))</formula>
    </cfRule>
  </conditionalFormatting>
  <printOptions horizontalCentered="1"/>
  <pageMargins left="0.511811023622047" right="0.511811023622047" top="0.74803149606299202" bottom="0.511811023622047" header="0.31496062992126" footer="0.31496062992126"/>
  <pageSetup paperSize="9" fitToHeight="0" orientation="portrait"/>
  <headerFooter>
    <oddFooter>&amp;LForm AK - &amp;D@&amp;T&amp;CAkreditasi Program Studi&amp;R&amp;P/&amp;N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ColWidth="9"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4" master="">
    <arrUserId title="Tanggal Penilaian" rangeCreator="" othersAccessPermission="edit"/>
    <arrUserId title="Kota Penilaian" rangeCreator="" othersAccessPermission="edit"/>
    <arrUserId title="Nama Asesor" rangeCreator="" othersAccessPermission="edit"/>
    <arrUserId title="Kode Panel" rangeCreator="" othersAccessPermission="edit"/>
    <arrUserId title="Nama PT" rangeCreator="" othersAccessPermission="edit"/>
    <arrUserId title="Nama Program Studi_2" rangeCreator="" othersAccessPermission="edit"/>
  </rangeList>
  <rangeList sheetStid="11" master="">
    <arrUserId title="Skor 1 sd 10" rangeCreator="" othersAccessPermission="edit"/>
    <arrUserId title="Informasi Borang_1" rangeCreator="" othersAccessPermission="edit"/>
    <arrUserId title="Skor 1 sd 10_1" rangeCreator="" othersAccessPermission="edit"/>
    <arrUserId title="Skor 1 sd 10_2" rangeCreator="" othersAccessPermission="edit"/>
  </rangeList>
  <rangeList sheetStid="52" master=""/>
  <rangeList sheetStid="53"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Menu</vt:lpstr>
      <vt:lpstr>Kertas Kerja</vt:lpstr>
      <vt:lpstr>Lap AK Individual</vt:lpstr>
      <vt:lpstr>Sheet1</vt:lpstr>
      <vt:lpstr>'Lap AK Individual'!Print_Area</vt:lpstr>
      <vt:lpstr>'Lap AK Individual'!Print_Titles</vt:lpstr>
    </vt:vector>
  </TitlesOfParts>
  <Company>NTU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Radon Dhelika</dc:creator>
  <cp:lastModifiedBy>Lembaga Penjaminan Mutu Universitas Medan Area</cp:lastModifiedBy>
  <cp:lastPrinted>2019-09-20T11:16:00Z</cp:lastPrinted>
  <dcterms:created xsi:type="dcterms:W3CDTF">2009-07-06T01:37:00Z</dcterms:created>
  <dcterms:modified xsi:type="dcterms:W3CDTF">2024-03-08T08:46:08Z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F2CC8C7F597D4CFEA8D5761D9C78DFE1</vt:lpwstr>
  </property>
  <property fmtid="{D5CDD505-2E9C-101B-9397-08002B2CF9AE}" pid="3" name="KSOProductBuildVer">
    <vt:lpwstr>1033-11.2.0.11537</vt:lpwstr>
  </property>
</Properties>
</file>